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265" firstSheet="31" activeTab="36"/>
  </bookViews>
  <sheets>
    <sheet name="Сравнительная таблица" sheetId="1" r:id="rId1"/>
    <sheet name="Лист1" sheetId="2" r:id="rId2"/>
    <sheet name="Интер 7" sheetId="3" r:id="rId3"/>
    <sheet name="Первооткр 2" sheetId="4" r:id="rId4"/>
    <sheet name="Калевала 2" sheetId="5" r:id="rId5"/>
    <sheet name="Калевала 27" sheetId="6" r:id="rId6"/>
    <sheet name="Антикайнена 5" sheetId="7" r:id="rId7"/>
    <sheet name="Антикайнена 7" sheetId="8" r:id="rId8"/>
    <sheet name="Антикайнена 11" sheetId="9" r:id="rId9"/>
    <sheet name="Антикайнена 19" sheetId="10" r:id="rId10"/>
    <sheet name="Антикайнена 25" sheetId="11" r:id="rId11"/>
    <sheet name="Антикайнена 27" sheetId="12" r:id="rId12"/>
    <sheet name="Антикайнена 29" sheetId="13" r:id="rId13"/>
    <sheet name="Антикайнена 31" sheetId="14" r:id="rId14"/>
    <sheet name="Горняков 4" sheetId="15" r:id="rId15"/>
    <sheet name="Горняков 6" sheetId="16" r:id="rId16"/>
    <sheet name="Горняков 8" sheetId="17" r:id="rId17"/>
    <sheet name="Горняков 13" sheetId="18" r:id="rId18"/>
    <sheet name="Горняков 1" sheetId="19" r:id="rId19"/>
    <sheet name="Горняков 15" sheetId="20" r:id="rId20"/>
    <sheet name="Ленина 1" sheetId="21" r:id="rId21"/>
    <sheet name="Ленина 3" sheetId="22" r:id="rId22"/>
    <sheet name="Ленина 5" sheetId="23" r:id="rId23"/>
    <sheet name="Лен 5 для жинсп" sheetId="24" r:id="rId24"/>
    <sheet name="Ленина 9" sheetId="25" r:id="rId25"/>
    <sheet name="Ленина 11" sheetId="26" r:id="rId26"/>
    <sheet name="Ленина 13" sheetId="27" r:id="rId27"/>
    <sheet name="Ленина 15" sheetId="28" r:id="rId28"/>
    <sheet name="Ленина 24" sheetId="29" r:id="rId29"/>
    <sheet name="Кар 2" sheetId="30" r:id="rId30"/>
    <sheet name="Сов 2" sheetId="31" r:id="rId31"/>
    <sheet name="Сов 4" sheetId="32" r:id="rId32"/>
    <sheet name="Героев 4" sheetId="33" r:id="rId33"/>
    <sheet name="Кар 1" sheetId="34" r:id="rId34"/>
    <sheet name="Сов 9" sheetId="35" r:id="rId35"/>
    <sheet name="Сов 11" sheetId="36" r:id="rId36"/>
    <sheet name="Строит 1" sheetId="37" r:id="rId37"/>
    <sheet name="Строит 3" sheetId="38" r:id="rId38"/>
    <sheet name="Мира 15" sheetId="39" r:id="rId39"/>
    <sheet name="Мира 17" sheetId="40" r:id="rId40"/>
    <sheet name="Мира 19" sheetId="41" r:id="rId41"/>
    <sheet name="Горн 2АБВГ" sheetId="42" r:id="rId42"/>
    <sheet name="Ленина 17" sheetId="43" r:id="rId43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N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Отправлено в мэрию</t>
        </r>
      </text>
    </comment>
  </commentList>
</comments>
</file>

<file path=xl/sharedStrings.xml><?xml version="1.0" encoding="utf-8"?>
<sst xmlns="http://schemas.openxmlformats.org/spreadsheetml/2006/main" count="6499" uniqueCount="592">
  <si>
    <t>2. Отчисления на капитальный ремонт</t>
  </si>
  <si>
    <t>Содержание ПОП</t>
  </si>
  <si>
    <t>Уборка ПТ</t>
  </si>
  <si>
    <t>Мусоропровод</t>
  </si>
  <si>
    <t>Дератизация</t>
  </si>
  <si>
    <t>Вывоз бытового и к/г мусора</t>
  </si>
  <si>
    <t>Подготовка к сез экспл и строит конструкции</t>
  </si>
  <si>
    <t>Обслуживание сан тех оборудования</t>
  </si>
  <si>
    <t>Аварийное обслуживание</t>
  </si>
  <si>
    <t>Обслуживание лифтов</t>
  </si>
  <si>
    <t>ОЭР</t>
  </si>
  <si>
    <t>ПС</t>
  </si>
  <si>
    <t>ВСЕГО ЗАТРАТ</t>
  </si>
  <si>
    <t>Ст-сть 1 кв.м. в м-ц</t>
  </si>
  <si>
    <t>Обслуживание электрооборудования, вентуст</t>
  </si>
  <si>
    <t>Обслуживаемая площадь -15678,1</t>
  </si>
  <si>
    <t>Обслуживаемая площадь, м2   15678,1</t>
  </si>
  <si>
    <t>ремонт мусорных контейнеров</t>
  </si>
  <si>
    <t>канализация-бесконечная прочистка</t>
  </si>
  <si>
    <t>Карельская 1</t>
  </si>
  <si>
    <t>с мус/пров</t>
  </si>
  <si>
    <t>Советская 9</t>
  </si>
  <si>
    <t>Наименование работ</t>
  </si>
  <si>
    <t>Уборка дома и территории</t>
  </si>
  <si>
    <t>Содержание помещения общего пользования</t>
  </si>
  <si>
    <t>подметание полов во всех помещениях общего пользования:</t>
  </si>
  <si>
    <t>влажное подметание лестничных площадок и маршей нижних этажей</t>
  </si>
  <si>
    <t>влажное подметание лестничных площадок и маршей верхних этажей</t>
  </si>
  <si>
    <t>мытье пола кабины лифта</t>
  </si>
  <si>
    <t>очистка и уборка мусорокамер</t>
  </si>
  <si>
    <t>очистка и дезинфекция элементов ствола мусоропровода и мусоросборников</t>
  </si>
  <si>
    <t>Уборка земельного участка, входящего в состав общего имущества многоквартирного дома</t>
  </si>
  <si>
    <t>подметание территорий в летний период</t>
  </si>
  <si>
    <t>с мусоропров</t>
  </si>
  <si>
    <t>сдвижка и подметание снега при отсутствии снегопадов</t>
  </si>
  <si>
    <t>сдвижка и подметание снега в дни сильных снегопадов</t>
  </si>
  <si>
    <t>механическая уборка снега</t>
  </si>
  <si>
    <t>Вывоз твердых бытовых отходов</t>
  </si>
  <si>
    <t>Подготовка многоквартирного дома к сезонной эксплуатации, в том числе:</t>
  </si>
  <si>
    <t>Техническое обслуживание, осмотры и ремонт строительных конструкций, в том числе:</t>
  </si>
  <si>
    <t>№ п/п</t>
  </si>
  <si>
    <t>Наименование статей затрат</t>
  </si>
  <si>
    <t>Показатели объемов,м2</t>
  </si>
  <si>
    <t>Всего годовая плата (руб.)</t>
  </si>
  <si>
    <t>в том числе</t>
  </si>
  <si>
    <t>с мусоропроводом,лифт</t>
  </si>
  <si>
    <t>Обслуживаемая площадь, м2</t>
  </si>
  <si>
    <t>1.0.00.00</t>
  </si>
  <si>
    <t>1.1.00.00</t>
  </si>
  <si>
    <t>1.1.10.00</t>
  </si>
  <si>
    <t>1.1.11.00</t>
  </si>
  <si>
    <t>Заработная плата</t>
  </si>
  <si>
    <t>1.1.12.00</t>
  </si>
  <si>
    <t>Отчисление ЕСН</t>
  </si>
  <si>
    <t>1.1.13.00</t>
  </si>
  <si>
    <t>1.1.14.00</t>
  </si>
  <si>
    <t>1.1.15.00</t>
  </si>
  <si>
    <t>мытье и протирка загрузочных устройств мусоропровода</t>
  </si>
  <si>
    <t>Прочие ( вода для мытья ПОП )</t>
  </si>
  <si>
    <t>1.1.16.00</t>
  </si>
  <si>
    <t>ИТОГО, руб.</t>
  </si>
  <si>
    <t>1.2.00.00</t>
  </si>
  <si>
    <t>1.2.10.00</t>
  </si>
  <si>
    <t>1.2.20.00</t>
  </si>
  <si>
    <t>уборка газона</t>
  </si>
  <si>
    <t>1.2.30.00</t>
  </si>
  <si>
    <t>очистка урн</t>
  </si>
  <si>
    <t>1.2.40.00</t>
  </si>
  <si>
    <t xml:space="preserve">ГСМ </t>
  </si>
  <si>
    <t>1.2.50.00</t>
  </si>
  <si>
    <t>1.2.60.00</t>
  </si>
  <si>
    <t>Прочие</t>
  </si>
  <si>
    <t>1.2.70.00</t>
  </si>
  <si>
    <t>дератизация, дезинсекция</t>
  </si>
  <si>
    <t>7.0.00.00</t>
  </si>
  <si>
    <t>2.0.00.00</t>
  </si>
  <si>
    <t>2.1.00.00</t>
  </si>
  <si>
    <t>устранение неисправностей стен, фасадов, кровли, перекрытий чердачных и над техническими подвалами, оконных и дверных заполнений</t>
  </si>
  <si>
    <t>2.2.00.00</t>
  </si>
  <si>
    <t>ремонт просевших отмосток, ремонт оконных рам, дверных полотен и коробок, лестничных перил, фурнитуры, замена разбитых стекол</t>
  </si>
  <si>
    <t>2.3.00.00</t>
  </si>
  <si>
    <t>3.0.00.00</t>
  </si>
  <si>
    <t>3.1.00.00</t>
  </si>
  <si>
    <t>протечки в отдельных местах кровли, повреждение системы водоотвода</t>
  </si>
  <si>
    <t>3.2.00.00</t>
  </si>
  <si>
    <t>утрата связи отдельных кирпичей с кладкой наружных стен, угрожающая их выпадению</t>
  </si>
  <si>
    <t>3.3.00.00</t>
  </si>
  <si>
    <t>деформирование рам оконных и коробки дверных полотен, тамбурные, межэтажные сорванные заполнения дверных полотен</t>
  </si>
  <si>
    <t>3.4.00.00</t>
  </si>
  <si>
    <t>3.5.00.00</t>
  </si>
  <si>
    <t>отслоение штукатурки потолка или верхней части стены,угрожающее ее обрушению</t>
  </si>
  <si>
    <t>3.6.00.00</t>
  </si>
  <si>
    <t>трещины, выбоины на лестничных площадках, ослабление крепления ограждений, поручней и предохранительных сеток, повреждение перил</t>
  </si>
  <si>
    <t>3.7.00.00</t>
  </si>
  <si>
    <t>укрепление загрузочных клапанов мусоропроводов</t>
  </si>
  <si>
    <t>4.0.00.00</t>
  </si>
  <si>
    <t>4.1.00.00</t>
  </si>
  <si>
    <t>сети холодного и горячего водоснабжения</t>
  </si>
  <si>
    <t>4.2.00.00</t>
  </si>
  <si>
    <t>канализация</t>
  </si>
  <si>
    <t>4.3.00.00</t>
  </si>
  <si>
    <t>вентиляция</t>
  </si>
  <si>
    <t>4.4.00.00</t>
  </si>
  <si>
    <t>оборудование сети центрального водоснабжения</t>
  </si>
  <si>
    <t>4.5.00.00</t>
  </si>
  <si>
    <t>4.6.00.00</t>
  </si>
  <si>
    <t>ревизия и мелкий ремонт санитарно-технического оборудования, проверка водозапорной регулирующей арматуры</t>
  </si>
  <si>
    <t>Обслуживание вентустановок</t>
  </si>
  <si>
    <t>11(5эт.-5, 9эт.-6)</t>
  </si>
  <si>
    <t>5.0.00.00</t>
  </si>
  <si>
    <t>5.1.00.00</t>
  </si>
  <si>
    <t xml:space="preserve">Заработная плата </t>
  </si>
  <si>
    <t>Услуги диспетчерской</t>
  </si>
  <si>
    <t>6.0.00.00</t>
  </si>
  <si>
    <t>обслуживание лифтов</t>
  </si>
  <si>
    <t>услуги ТИЦ</t>
  </si>
  <si>
    <t>6.1.00.00</t>
  </si>
  <si>
    <t>ИТОГО прямые расходы</t>
  </si>
  <si>
    <t>Цеховые расходы  организации</t>
  </si>
  <si>
    <t>Общеэксплуатационные расходы  организации</t>
  </si>
  <si>
    <t>Рентабельность5 %</t>
  </si>
  <si>
    <t>Итого стоимость услуги  организации</t>
  </si>
  <si>
    <t>без мусоро     провода</t>
  </si>
  <si>
    <t>на дом</t>
  </si>
  <si>
    <t>Всего на год,руб.</t>
  </si>
  <si>
    <t>На 1 кв.м. в месяц, руб.</t>
  </si>
  <si>
    <t>Ленина 24</t>
  </si>
  <si>
    <t>Строителей 1</t>
  </si>
  <si>
    <t>Строителей 3</t>
  </si>
  <si>
    <t>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 проверка состояния и ремонт продухов в цоколях зданий</t>
  </si>
  <si>
    <t xml:space="preserve">протечки в перекрытиях при нарушении водонепроницаемости и гидроизоляции </t>
  </si>
  <si>
    <t>Фактические затраты</t>
  </si>
  <si>
    <t>1 квартал 2011 года</t>
  </si>
  <si>
    <t>по адресу: пр. Горняков, 2 АБВГ на 2011 год.</t>
  </si>
  <si>
    <t>Факт затраты за 1 квартал 2011</t>
  </si>
  <si>
    <t>Описание работ</t>
  </si>
  <si>
    <t>Общеэксплуатационные и управленческие расходы 31,9%</t>
  </si>
  <si>
    <t>ДС</t>
  </si>
  <si>
    <t>Цеховой персонал</t>
  </si>
  <si>
    <t>ВСЕГО сан.содержание</t>
  </si>
  <si>
    <t>1 квартал (только март)2011 года</t>
  </si>
  <si>
    <t>Горняков 13</t>
  </si>
  <si>
    <t>Горняков 15</t>
  </si>
  <si>
    <t>мусоропровод 4639,69 шт./ в мес.</t>
  </si>
  <si>
    <t>Очистка кровли от снега, сосулек</t>
  </si>
  <si>
    <r>
      <t xml:space="preserve">очистка и дезинфекция элементов ствола мусоропровода и мусоросборников, </t>
    </r>
    <r>
      <rPr>
        <b/>
        <sz val="10"/>
        <rFont val="Arial"/>
        <family val="2"/>
      </rPr>
      <t>ремонт ствола мус/провода</t>
    </r>
  </si>
  <si>
    <t xml:space="preserve">ремонт сети холодного и горячего водоснабжения </t>
  </si>
  <si>
    <t xml:space="preserve"> 2А - прочистка системы канализации; 2Б- 4,7 этаж- прочистка канализации,   2Г- прочистка канализации..</t>
  </si>
  <si>
    <t>Факт.затраты</t>
  </si>
  <si>
    <t>механическая уборка снега, очистка кровли от снега, сосулек</t>
  </si>
  <si>
    <t>механическая уборка снега,очистка кровли от снега,сосулек</t>
  </si>
  <si>
    <t>механическая уборка снега, очистка кровли от снега</t>
  </si>
  <si>
    <r>
      <t xml:space="preserve">деформирование рам оконных и коробки дверных полотен, </t>
    </r>
    <r>
      <rPr>
        <b/>
        <sz val="10"/>
        <rFont val="Arial"/>
        <family val="2"/>
      </rPr>
      <t>заделка отверстий макрофлексом под.6</t>
    </r>
  </si>
  <si>
    <t>оборудование сети центрального отопления-под.2,4-ремонт батареи, ремонт системы отопления в подвале:кран шар.3шт.,к/гайка 4шт.,муфта-4шт.,футорка 1шт.</t>
  </si>
  <si>
    <t>механическая уборка снега, очистка кровли от сосулек</t>
  </si>
  <si>
    <r>
      <t xml:space="preserve">устранение неисправностей стен, фасадов, кровли, </t>
    </r>
    <r>
      <rPr>
        <b/>
        <sz val="10"/>
        <rFont val="Arial"/>
        <family val="2"/>
      </rPr>
      <t>уборка воды с чердака</t>
    </r>
    <r>
      <rPr>
        <sz val="10"/>
        <rFont val="Arial"/>
        <family val="0"/>
      </rPr>
      <t xml:space="preserve"> и над техническими подвалами, оконных и дверных заполнений</t>
    </r>
  </si>
  <si>
    <t>оборудование сети центрального отопления-подвал 4-замена тройника</t>
  </si>
  <si>
    <t>канализация:ремонт в подвале:труба диам.110-7м.,диам.50-4м.труба медн. 1,5м.,муфта 1шт.,отвод 1шт.,тройник 3шт.,угольник 4шт.</t>
  </si>
  <si>
    <t>оборудование сети центрального отопления</t>
  </si>
  <si>
    <t>оборудование сети центрального отопления: труба оц. 1,5м,кран шар. 1шт.</t>
  </si>
  <si>
    <t>Ремонт подездов №2,4</t>
  </si>
  <si>
    <t>механическая уборка снега,очистка кровли от снега, сосулек</t>
  </si>
  <si>
    <t xml:space="preserve">текущий ремонт электротехнических устройств, замена ламп 41 шт. </t>
  </si>
  <si>
    <r>
      <t xml:space="preserve">сети холодного и горячего водоснабжения: </t>
    </r>
    <r>
      <rPr>
        <b/>
        <sz val="10"/>
        <rFont val="Arial"/>
        <family val="2"/>
      </rPr>
      <t>ремонт в подвале-труба оцинк. 3м.,муфта,к/гайка,кран шар. 5 компл.</t>
    </r>
  </si>
  <si>
    <r>
      <t>оборудование сети центрального отопления:</t>
    </r>
    <r>
      <rPr>
        <b/>
        <sz val="10"/>
        <rFont val="Arial"/>
        <family val="2"/>
      </rPr>
      <t>ремонт батареи в под.№ 1</t>
    </r>
  </si>
  <si>
    <r>
      <t xml:space="preserve">ремонт просевших отмосток, ремонт оконных рам, </t>
    </r>
    <r>
      <rPr>
        <b/>
        <sz val="10"/>
        <rFont val="Arial"/>
        <family val="2"/>
      </rPr>
      <t>под.5установка двери и пружины</t>
    </r>
    <r>
      <rPr>
        <sz val="10"/>
        <rFont val="Arial"/>
        <family val="0"/>
      </rPr>
      <t>, полотен и коробок, лестничных перил, фурнитуры, замена разбитых стекол</t>
    </r>
  </si>
  <si>
    <r>
      <t>канализация:</t>
    </r>
    <r>
      <rPr>
        <b/>
        <sz val="10"/>
        <rFont val="Arial"/>
        <family val="2"/>
      </rPr>
      <t>ремонт в подвале кран шар. 2шт.,тройник чуг.2шт.</t>
    </r>
  </si>
  <si>
    <t>оборудование сети центрального отопления:</t>
  </si>
  <si>
    <t>очистка козырьков от снега</t>
  </si>
  <si>
    <t>вентиляция-очистка вентшахт</t>
  </si>
  <si>
    <t>Карельская 2</t>
  </si>
  <si>
    <r>
      <t>2 квартал -</t>
    </r>
    <r>
      <rPr>
        <b/>
        <sz val="10"/>
        <rFont val="Arial"/>
        <family val="2"/>
      </rPr>
      <t xml:space="preserve"> июнь</t>
    </r>
  </si>
  <si>
    <t>1 полугодие</t>
  </si>
  <si>
    <t>полугодие (3м-ца) 2011 года</t>
  </si>
  <si>
    <t>1 полугодие (4мес.)</t>
  </si>
  <si>
    <t>Изготовление забора</t>
  </si>
  <si>
    <t>Калевала 2</t>
  </si>
  <si>
    <t>9 месяцев 2011 г. (с 01.08.11)</t>
  </si>
  <si>
    <t>Калевала 27</t>
  </si>
  <si>
    <t>9 мес. 2011 г. (с 01.08.11.)</t>
  </si>
  <si>
    <t xml:space="preserve">текущий ремонт электротехнических устройств, замена ламп-12шт., ЛД-3шт.,выкл.-3шт.,стартер-11шт., свет.-2шт. </t>
  </si>
  <si>
    <t>Ремонт подъездов 2,5</t>
  </si>
  <si>
    <t>Ремонт подъезда №1,2</t>
  </si>
  <si>
    <t xml:space="preserve">утрата связи наружных стен, </t>
  </si>
  <si>
    <r>
      <t xml:space="preserve">вентиляция: </t>
    </r>
    <r>
      <rPr>
        <b/>
        <sz val="10"/>
        <rFont val="Arial"/>
        <family val="2"/>
      </rPr>
      <t>замена ремня              Д-1120</t>
    </r>
  </si>
  <si>
    <r>
      <t xml:space="preserve">вентиляция: </t>
    </r>
    <r>
      <rPr>
        <b/>
        <sz val="10"/>
        <rFont val="Arial"/>
        <family val="2"/>
      </rPr>
      <t>замена ремней Д-1180, чистка вентстояков</t>
    </r>
  </si>
  <si>
    <t>врезка замка в эл.щитовую</t>
  </si>
  <si>
    <r>
      <t xml:space="preserve">вентиляция: </t>
    </r>
    <r>
      <rPr>
        <b/>
        <sz val="10"/>
        <rFont val="Arial"/>
        <family val="2"/>
      </rPr>
      <t>ремонт вентшахты</t>
    </r>
  </si>
  <si>
    <r>
      <t>ремонт мусоропровода</t>
    </r>
    <r>
      <rPr>
        <sz val="10"/>
        <rFont val="Arial"/>
        <family val="0"/>
      </rPr>
      <t xml:space="preserve"> и укрепление загрузочных клапанов мусоропроводов</t>
    </r>
  </si>
  <si>
    <r>
      <t>ремонт просевших отмосток,</t>
    </r>
    <r>
      <rPr>
        <b/>
        <sz val="10"/>
        <rFont val="Arial"/>
        <family val="2"/>
      </rPr>
      <t>замена и  ремонт оконных рам-3шт.п.1,2,6,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,</t>
    </r>
    <r>
      <rPr>
        <sz val="10"/>
        <rFont val="Arial"/>
        <family val="0"/>
      </rPr>
      <t xml:space="preserve"> лестничных перил, </t>
    </r>
    <r>
      <rPr>
        <b/>
        <sz val="10"/>
        <rFont val="Arial"/>
        <family val="2"/>
      </rPr>
      <t>ремонт доводчиков под.1,2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замена разбитых стекол-3,36 м2 под 2,.5; ремонт п/я</t>
    </r>
  </si>
  <si>
    <r>
      <t xml:space="preserve">ремонт просевших отмосток, ремонт оконных рам, </t>
    </r>
    <r>
      <rPr>
        <b/>
        <sz val="10"/>
        <rFont val="Arial"/>
        <family val="2"/>
      </rPr>
      <t>дверных полотен и коробок 3шт. п.1,3,4</t>
    </r>
    <r>
      <rPr>
        <sz val="10"/>
        <rFont val="Arial"/>
        <family val="0"/>
      </rPr>
      <t>;, лестничных перил, фурнитуры, замена разбитых стекол</t>
    </r>
  </si>
  <si>
    <t>вентиляция: ремонт вентшахты п.6</t>
  </si>
  <si>
    <r>
      <t xml:space="preserve">устранение неисправностей стен, фасадов, </t>
    </r>
    <r>
      <rPr>
        <b/>
        <sz val="10"/>
        <rFont val="Arial"/>
        <family val="2"/>
      </rPr>
      <t>заделка балконных примыканий и швов,</t>
    </r>
    <r>
      <rPr>
        <sz val="10"/>
        <rFont val="Arial"/>
        <family val="0"/>
      </rPr>
      <t>ремонт кровли, перекрытий чердачных и над техническими подвалами, оконных и дверных заполнений</t>
    </r>
  </si>
  <si>
    <t>из них промывка СТС</t>
  </si>
  <si>
    <r>
      <t xml:space="preserve">вентиляция: </t>
    </r>
    <r>
      <rPr>
        <b/>
        <sz val="10"/>
        <rFont val="Arial"/>
        <family val="2"/>
      </rPr>
      <t>ремонт</t>
    </r>
  </si>
  <si>
    <r>
      <t>устранение неисправностей стен, фасадов,</t>
    </r>
    <r>
      <rPr>
        <b/>
        <sz val="10"/>
        <rFont val="Arial"/>
        <family val="2"/>
      </rPr>
      <t xml:space="preserve">ремонт кровли 1,5м2., ремонт люка выхола на кровлю, </t>
    </r>
    <r>
      <rPr>
        <sz val="10"/>
        <rFont val="Arial"/>
        <family val="0"/>
      </rPr>
      <t>перекрытий чердачных и над техническими подвалами, оконных и дверных заполнений</t>
    </r>
  </si>
  <si>
    <r>
      <t xml:space="preserve">трещины, выбоины на лестничных площадках, ослабление крепления ограждений, </t>
    </r>
    <r>
      <rPr>
        <b/>
        <sz val="10"/>
        <rFont val="Arial"/>
        <family val="2"/>
      </rPr>
      <t xml:space="preserve">ремонт поручней п.5, </t>
    </r>
    <r>
      <rPr>
        <sz val="10"/>
        <rFont val="Arial"/>
        <family val="0"/>
      </rPr>
      <t xml:space="preserve"> предохранительных сеток, повреждение перил</t>
    </r>
  </si>
  <si>
    <r>
      <t>устранение неисправностей стен -</t>
    </r>
    <r>
      <rPr>
        <b/>
        <sz val="10"/>
        <rFont val="Arial"/>
        <family val="2"/>
      </rPr>
      <t xml:space="preserve"> ремонт швов п.1, </t>
    </r>
    <r>
      <rPr>
        <sz val="10"/>
        <rFont val="Arial"/>
        <family val="0"/>
      </rPr>
      <t xml:space="preserve">фасадов, кровли, </t>
    </r>
    <r>
      <rPr>
        <b/>
        <sz val="10"/>
        <rFont val="Arial"/>
        <family val="2"/>
      </rPr>
      <t>ремонт штроб в под 2-плита 2,4м2 ,ремонт испарителя под.1 плита асбоцем.12,6м2</t>
    </r>
    <r>
      <rPr>
        <sz val="10"/>
        <rFont val="Arial"/>
        <family val="0"/>
      </rPr>
      <t>, перекрытий чердачных и над техническими подвалами, оконных и дверных заполнений</t>
    </r>
  </si>
  <si>
    <r>
      <t xml:space="preserve">ремонт рам оконных в п.5 </t>
    </r>
    <r>
      <rPr>
        <sz val="10"/>
        <rFont val="Arial"/>
        <family val="0"/>
      </rPr>
      <t>и коробки дверных полотен, тамбурные, межэтажные сорванные заполнения дверных полотен</t>
    </r>
  </si>
  <si>
    <r>
      <t>устранение неисправностей стен,</t>
    </r>
    <r>
      <rPr>
        <b/>
        <sz val="10"/>
        <rFont val="Arial"/>
        <family val="2"/>
      </rPr>
      <t xml:space="preserve">ремонт штробы в мусорокамере, </t>
    </r>
    <r>
      <rPr>
        <sz val="10"/>
        <rFont val="Arial"/>
        <family val="0"/>
      </rPr>
      <t>фасадов, кровли, перекрытий чердачных и над техническими подвалами, оконных и дверных заполнений</t>
    </r>
  </si>
  <si>
    <r>
      <t>ремонт рам оконных- 2шт.,</t>
    </r>
    <r>
      <rPr>
        <sz val="10"/>
        <rFont val="Arial"/>
        <family val="0"/>
      </rPr>
      <t xml:space="preserve"> коробки дверных полотен, </t>
    </r>
    <r>
      <rPr>
        <b/>
        <sz val="10"/>
        <rFont val="Arial"/>
        <family val="2"/>
      </rPr>
      <t>пожарной двери,</t>
    </r>
    <r>
      <rPr>
        <sz val="10"/>
        <rFont val="Arial"/>
        <family val="0"/>
      </rPr>
      <t>тамбурные, межэтажные сорванные заполнения дверных полотен</t>
    </r>
  </si>
  <si>
    <r>
      <t xml:space="preserve">ремонт просевших отмосток, ремонт оконных рам, дверных полотен и коробок, </t>
    </r>
    <r>
      <rPr>
        <b/>
        <sz val="10"/>
        <rFont val="Arial"/>
        <family val="2"/>
      </rPr>
      <t>ремонт доводчика -1шт</t>
    </r>
    <r>
      <rPr>
        <sz val="10"/>
        <rFont val="Arial"/>
        <family val="0"/>
      </rPr>
      <t xml:space="preserve">.,лестничных перил, фурнитуры, </t>
    </r>
    <r>
      <rPr>
        <b/>
        <sz val="10"/>
        <rFont val="Arial"/>
        <family val="2"/>
      </rPr>
      <t>замена разбитых стекол-4,47м2</t>
    </r>
  </si>
  <si>
    <t>Ремонт замка в мусорокамере №3</t>
  </si>
  <si>
    <r>
      <t>протечки в отдельных местах кровли (вокруг резиновых муфт),</t>
    </r>
    <r>
      <rPr>
        <sz val="10"/>
        <rFont val="Arial"/>
        <family val="0"/>
      </rPr>
      <t xml:space="preserve"> повреждение системы водоотвода</t>
    </r>
  </si>
  <si>
    <r>
      <t xml:space="preserve">устранение неисправностей стен, фасадов, </t>
    </r>
    <r>
      <rPr>
        <b/>
        <sz val="10"/>
        <rFont val="Arial"/>
        <family val="2"/>
      </rPr>
      <t>кровли -1м2.</t>
    </r>
    <r>
      <rPr>
        <sz val="10"/>
        <rFont val="Arial"/>
        <family val="0"/>
      </rPr>
      <t>, перекрытий чердачных и над техническими подвалами, оконных и дверных заполнений</t>
    </r>
  </si>
  <si>
    <r>
      <t>устранение неисправностей стен, фасадов,</t>
    </r>
    <r>
      <rPr>
        <b/>
        <sz val="10"/>
        <rFont val="Arial"/>
        <family val="2"/>
      </rPr>
      <t>ремонт  кровли технониколем</t>
    </r>
    <r>
      <rPr>
        <sz val="10"/>
        <rFont val="Arial"/>
        <family val="0"/>
      </rPr>
      <t>, перекрытий чердачных и над техническими подвалами, оконных и дверных заполнений</t>
    </r>
  </si>
  <si>
    <r>
      <t>трещины, выбоины на лестничных площадках, ослабление крепления ограждений, поручней и предохранительных сеток,</t>
    </r>
    <r>
      <rPr>
        <b/>
        <sz val="10"/>
        <rFont val="Arial"/>
        <family val="2"/>
      </rPr>
      <t xml:space="preserve"> ремонт лестничных ограждений</t>
    </r>
  </si>
  <si>
    <t>оборудование сети центрального водоснабжения: ремонт кранов, кран-букс, ремонт смесителей, установка крана в моечной, ремонт батареи в м/ками в тамбуре</t>
  </si>
  <si>
    <t>оборудование сети центрального отопления:ремонт в подвале-кр.шар.7шт.,муфта 4шт.,к/гайка 4шт.</t>
  </si>
  <si>
    <r>
      <t xml:space="preserve">оборудование сети центрального отопления: </t>
    </r>
    <r>
      <rPr>
        <b/>
        <sz val="10"/>
        <rFont val="Arial"/>
        <family val="2"/>
      </rPr>
      <t>ремонт батареи</t>
    </r>
  </si>
  <si>
    <r>
      <t>оборудование сети центрального отопления:</t>
    </r>
    <r>
      <rPr>
        <b/>
        <sz val="10"/>
        <rFont val="Arial"/>
        <family val="2"/>
      </rPr>
      <t>ремонт систем в подвале-кран шар.16шт.,муфта 16шт.,к/гайка 16шт.,труба оц. 6,5 м2.,тройник 8шт.</t>
    </r>
  </si>
  <si>
    <r>
      <t>сети холодного и горячего водоснабжения:</t>
    </r>
    <r>
      <rPr>
        <b/>
        <sz val="10"/>
        <rFont val="Arial"/>
        <family val="2"/>
      </rPr>
      <t>ХВС подвал-кран шар. 8шт., муфта 10шт.,к/гайка 10ш</t>
    </r>
    <r>
      <rPr>
        <sz val="10"/>
        <rFont val="Arial"/>
        <family val="0"/>
      </rPr>
      <t>т.</t>
    </r>
  </si>
  <si>
    <r>
      <t xml:space="preserve">канализация: </t>
    </r>
    <r>
      <rPr>
        <b/>
        <sz val="10"/>
        <rFont val="Arial"/>
        <family val="2"/>
      </rPr>
      <t>подвал-кран шар. 2шт.,муфта 4шт.,к/гайка 4шт.,тройник 6шт.</t>
    </r>
  </si>
  <si>
    <t>оборудование сети центрального отопления-техн.этаж: кран шар.6шт.,к/гайка 6шт.,муфта 5шт.,заглушка 1шт.</t>
  </si>
  <si>
    <r>
      <t>сети холодного и горячего водоснабжения:</t>
    </r>
    <r>
      <rPr>
        <b/>
        <sz val="10"/>
        <rFont val="Arial"/>
        <family val="2"/>
      </rPr>
      <t>ремонт в подвале-труба оц. 1м., труба ПВХ 4м.,муфта 2шт.,к/гайка 2шт.,угольник 4шт.,кран шар.1шт.,отвод 2шт.,тройник 2шт.</t>
    </r>
  </si>
  <si>
    <r>
      <t xml:space="preserve">канализация: </t>
    </r>
    <r>
      <rPr>
        <b/>
        <sz val="10"/>
        <rFont val="Arial"/>
        <family val="2"/>
      </rPr>
      <t>подвал-труба ПВХ 22м.,тройник 5шт.,отвод 16шт.,перех.2шт.,заглушка 8шт.</t>
    </r>
  </si>
  <si>
    <r>
      <t>канализация:</t>
    </r>
    <r>
      <rPr>
        <b/>
        <sz val="10"/>
        <rFont val="Arial"/>
        <family val="2"/>
      </rPr>
      <t xml:space="preserve"> подвал-труба ПВХ 1м.,отвод 2шт.,переходник 2шт.</t>
    </r>
  </si>
  <si>
    <r>
      <t>сети холодного и горячего водоснабжения:</t>
    </r>
    <r>
      <rPr>
        <b/>
        <sz val="10"/>
        <rFont val="Arial"/>
        <family val="2"/>
      </rPr>
      <t>ХВС в подвале-кран шар.4шт.,тройник 4шт.,крестовина 4шт.,труба оц.1м., труба ПВХ 2м.</t>
    </r>
  </si>
  <si>
    <r>
      <t>сети холодного и горячего водоснабжения:</t>
    </r>
    <r>
      <rPr>
        <b/>
        <sz val="10"/>
        <rFont val="Arial"/>
        <family val="2"/>
      </rPr>
      <t>подвал ХВС- кран шар.3шт.,муфта 3шт.,к/гайка 3шт.,тройник 2шт.,угольник 6шт.,труба оц.1м.</t>
    </r>
  </si>
  <si>
    <t>Содержание и ТО</t>
  </si>
  <si>
    <t>Отчисления на кап.ремонт</t>
  </si>
  <si>
    <t>Доп.доход от стор.организ.</t>
  </si>
  <si>
    <t>9 месяцев</t>
  </si>
  <si>
    <t>9 месяцев            (4 м-ца)</t>
  </si>
  <si>
    <t>9 мес.            (6 мес)</t>
  </si>
  <si>
    <t>Интернациональная 7</t>
  </si>
  <si>
    <t>13,78 д.т.</t>
  </si>
  <si>
    <t>(по тех пасп. 3318)</t>
  </si>
  <si>
    <t>Прочие                     ( вода для мытья        ПОП )</t>
  </si>
  <si>
    <t>Прочие    ( вода для мытья       ПОП )</t>
  </si>
  <si>
    <t>9 мес.         (7 мес)</t>
  </si>
  <si>
    <t>Начислено :</t>
  </si>
  <si>
    <t>Оплачено :</t>
  </si>
  <si>
    <t>Долг :</t>
  </si>
  <si>
    <t>2011 год            1 полугодие</t>
  </si>
  <si>
    <t xml:space="preserve">№ п/п  </t>
  </si>
  <si>
    <t xml:space="preserve">Наименование работ  </t>
  </si>
  <si>
    <t xml:space="preserve">Наименование статей затрат </t>
  </si>
  <si>
    <t>Экономист                           Г. Кубасова</t>
  </si>
  <si>
    <t>Ремонт межпан.швов 27,6м.</t>
  </si>
  <si>
    <t>Ремонт межпанельных швов-90м.</t>
  </si>
  <si>
    <t>Ремонт межпанельных швов-74,5м</t>
  </si>
  <si>
    <t>Ремонт межпанальных швов-87,8м.</t>
  </si>
  <si>
    <t>Ремонт межпанельных швов-91,8 м</t>
  </si>
  <si>
    <t>Ремонт межпанельных швов-15,5м</t>
  </si>
  <si>
    <t>Ремонт межпанельных швов -   35,5 м</t>
  </si>
  <si>
    <t>Ремонт межпанельных швов -133 м</t>
  </si>
  <si>
    <t>Ремонт межпанельных швов -67 м</t>
  </si>
  <si>
    <t>Ремонт межпанельных швов -32 м</t>
  </si>
  <si>
    <t>Ремонт межпанельных швов -45 м</t>
  </si>
  <si>
    <t>Ремонт межпанельных швов -82,6 м</t>
  </si>
  <si>
    <t>Ремонт межпанельных швов -161,2 м</t>
  </si>
  <si>
    <t>Ремонт межпанельных швов -86,5 м</t>
  </si>
  <si>
    <t>Ремонтмежпанельных швов -140,5м</t>
  </si>
  <si>
    <t>Ремонт подъездов ( п.2)  Ремонт межпанелных швов -30 м</t>
  </si>
  <si>
    <t>Ремонт межпанельных швов -77,8 м</t>
  </si>
  <si>
    <t>Ремонт межпанельных швов -120 м</t>
  </si>
  <si>
    <t>Ремонт межпанельных швов -56,6 м</t>
  </si>
  <si>
    <t>Ремонт межпанельных швов -29,25 м</t>
  </si>
  <si>
    <t>Ремонт межпанельных швов -251 м</t>
  </si>
  <si>
    <t>Ремонт межпанельных швов -49,75 м</t>
  </si>
  <si>
    <t>Ремонт межпанельных швов -51,6м</t>
  </si>
  <si>
    <t>Ремонт межпанельных швов -274 м</t>
  </si>
  <si>
    <t>Ремонт межпанельных швов -64,25 м</t>
  </si>
  <si>
    <t>Ремонт межпанельных швов -206,2 м</t>
  </si>
  <si>
    <t>Ремонт межпанельных швов-66 м</t>
  </si>
  <si>
    <t>Ремонт межпанельных швов -117 м</t>
  </si>
  <si>
    <t>Локальный ремонт козырька вх.дв.-24 м2</t>
  </si>
  <si>
    <t>Локальный ремонт кровли-71,5 м2.</t>
  </si>
  <si>
    <r>
      <t xml:space="preserve">устранение неисправностей стен, фасадов, </t>
    </r>
    <r>
      <rPr>
        <b/>
        <sz val="10"/>
        <rFont val="Arial"/>
        <family val="2"/>
      </rPr>
      <t>локальный ремонт кровли- 126,5 м2.</t>
    </r>
    <r>
      <rPr>
        <sz val="10"/>
        <rFont val="Arial"/>
        <family val="0"/>
      </rPr>
      <t>, перекрытий чердачных и над техническими подвалами, оконных и дверных заполнений</t>
    </r>
  </si>
  <si>
    <t>Локальный ремонт кровли -10 м2.</t>
  </si>
  <si>
    <t>Локальный ремонт кровли -227 м2.</t>
  </si>
  <si>
    <t>Локальный ремонт кровли -34 м2.</t>
  </si>
  <si>
    <t>Локальный ремонт кровли -7м2.</t>
  </si>
  <si>
    <t>Локальный ремонт кровли -12 м2.</t>
  </si>
  <si>
    <t>Локальный ремонт кровли - 123 м2.</t>
  </si>
  <si>
    <r>
      <t xml:space="preserve">устранение неисправностей стен, фасадов, </t>
    </r>
    <r>
      <rPr>
        <b/>
        <sz val="10"/>
        <rFont val="Arial"/>
        <family val="2"/>
      </rPr>
      <t>очистка кровли вокруг ливневки п.4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ремонт козырьков балк.- 26,26 кв.м.</t>
    </r>
    <r>
      <rPr>
        <sz val="10"/>
        <rFont val="Arial"/>
        <family val="0"/>
      </rPr>
      <t>, оконных и дверных заполнений</t>
    </r>
  </si>
  <si>
    <t>Ремонт козырьков балк.-12,33 кв.м.</t>
  </si>
  <si>
    <r>
      <t xml:space="preserve">устранение неисправностей стен, фасадов, </t>
    </r>
    <r>
      <rPr>
        <b/>
        <sz val="10"/>
        <rFont val="Arial"/>
        <family val="2"/>
      </rPr>
      <t>ремонт кровли- 1,5 м2.,укрепление решеток, ремонт козырьков балк. -10,83 кв.м</t>
    </r>
    <r>
      <rPr>
        <sz val="10"/>
        <rFont val="Arial"/>
        <family val="2"/>
      </rPr>
      <t>.,</t>
    </r>
    <r>
      <rPr>
        <sz val="10"/>
        <rFont val="Arial"/>
        <family val="0"/>
      </rPr>
      <t xml:space="preserve"> оконных и дверных заполнений</t>
    </r>
  </si>
  <si>
    <r>
      <t xml:space="preserve">устранение неисправностей стен, фасадов, </t>
    </r>
    <r>
      <rPr>
        <b/>
        <sz val="10"/>
        <rFont val="Arial"/>
        <family val="2"/>
      </rPr>
      <t xml:space="preserve">ремонт кровли-2м2., очистка ливневого стока 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>ремонт козырьков балк.-11,55 кв.м.</t>
    </r>
    <r>
      <rPr>
        <sz val="10"/>
        <rFont val="Arial"/>
        <family val="0"/>
      </rPr>
      <t>, оконных и дверных заполнений</t>
    </r>
  </si>
  <si>
    <t>Ремонт козырьков балк. -47,42 кв.м.</t>
  </si>
  <si>
    <t>Ремонт козырьков балконных -11,88 кв.м.</t>
  </si>
  <si>
    <t>Ремонт козырьков балконных- 33,8 кв.м.</t>
  </si>
  <si>
    <t>Ремонт козырьков балконных - 33,8 кв.м.</t>
  </si>
  <si>
    <t>Капитальный ремонт кровли 970 кв.м.</t>
  </si>
  <si>
    <t>Капитальный ремонт кровли 845 кв.м.</t>
  </si>
  <si>
    <t>канализация:под. 7ремонт канал.труба ПВХ - 8,5м.,перех. 1шт.,тройн. 1шт.,патрубок компр.-1шт.,муфта -1шт., отвод -6шт</t>
  </si>
  <si>
    <r>
      <t>канализация:</t>
    </r>
    <r>
      <rPr>
        <b/>
        <sz val="10"/>
        <rFont val="Arial"/>
        <family val="2"/>
      </rPr>
      <t>.</t>
    </r>
  </si>
  <si>
    <r>
      <t xml:space="preserve">оборудование сети центрального отопления: </t>
    </r>
    <r>
      <rPr>
        <b/>
        <sz val="10"/>
        <rFont val="Arial"/>
        <family val="2"/>
      </rPr>
      <t>под. 5,8- ремонт батареи</t>
    </r>
  </si>
  <si>
    <t>канализация:ремонт в подвале труба ПВХ 11,5м.,муфта,отвод по 3шт.,переходник 1шт.</t>
  </si>
  <si>
    <r>
      <t xml:space="preserve">канализация: </t>
    </r>
    <r>
      <rPr>
        <b/>
        <sz val="10"/>
        <rFont val="Arial"/>
        <family val="2"/>
      </rPr>
      <t>подвал - труба ПВХ 4м.,муфта 1шт.</t>
    </r>
  </si>
  <si>
    <r>
      <t xml:space="preserve">оборудование сети центрального отопления: </t>
    </r>
    <r>
      <rPr>
        <b/>
        <sz val="10"/>
        <rFont val="Arial"/>
        <family val="2"/>
      </rPr>
      <t>подвал кран шар. 2шт.,муфта -2шт.,к/г -2шт</t>
    </r>
    <r>
      <rPr>
        <sz val="10"/>
        <rFont val="Arial"/>
        <family val="0"/>
      </rPr>
      <t>.</t>
    </r>
  </si>
  <si>
    <t>сети холодного и горячего водоснабжения: ремонт в подвале-труба оц. 14,5м.,кран шар.26шт.,муфта25шт.,к/гайка 23шт.,тройник чуг.12шт.</t>
  </si>
  <si>
    <r>
      <t xml:space="preserve">оборудование сети центрального отопления: </t>
    </r>
    <r>
      <rPr>
        <b/>
        <sz val="10"/>
        <rFont val="Arial"/>
        <family val="2"/>
      </rPr>
      <t>под.1,4- ремонт батареи</t>
    </r>
  </si>
  <si>
    <t>сети холодного и горячего водоснабжения-подвал: труба оц.18,5 м.,кран шар. 13шт.,муфта28шт.,к/гайка 25шт.,тройник 6шт.,футорка 3шт.</t>
  </si>
  <si>
    <r>
      <t>канализация:</t>
    </r>
    <r>
      <rPr>
        <b/>
        <sz val="10"/>
        <rFont val="Arial"/>
        <family val="2"/>
      </rPr>
      <t>подвал-труба ПВХ-13,5м.,отвод-12шт.,тройник-6шт.,перех.-2шт.,загл.-2шт.,манжета-5шт.</t>
    </r>
  </si>
  <si>
    <r>
      <t>сети холодного и горячего водоснабжения:</t>
    </r>
    <r>
      <rPr>
        <b/>
        <sz val="10"/>
        <rFont val="Arial"/>
        <family val="2"/>
      </rPr>
      <t>подключение воды в мусорокамере; ремонт в подвале-кран шар.7шт.,муфта 8шт.,к/гайка 12шт.,тройник 10шт.,труба оц.6,5м., кран шар. 4шт.,</t>
    </r>
  </si>
  <si>
    <r>
      <t xml:space="preserve">канализация: </t>
    </r>
    <r>
      <rPr>
        <b/>
        <sz val="10"/>
        <rFont val="Arial"/>
        <family val="2"/>
      </rPr>
      <t>стояк- труба ПВХ-3,5м.,отвод 2шт.</t>
    </r>
  </si>
  <si>
    <r>
      <t>канализация:</t>
    </r>
    <r>
      <rPr>
        <b/>
        <sz val="10"/>
        <rFont val="Arial"/>
        <family val="2"/>
      </rPr>
      <t>подвал-труба ПВХ-5м.,тройн.-1шт.,муфта-1шт.,перех.-2шт., ремонт по стояку:труба ПВХ -4,5м.,тройник 1шт.,отвод 3шт.,перех. 1шт.</t>
    </r>
  </si>
  <si>
    <r>
      <t xml:space="preserve">сети холодного и горячего водоснабжения: </t>
    </r>
    <r>
      <rPr>
        <b/>
        <sz val="10"/>
        <rFont val="Arial"/>
        <family val="2"/>
      </rPr>
      <t>техн.этаж-кран шар. 7шт.,к/гайка 5шт.,муфта 6шт., тройник 1шт., труба оц. 3 м.</t>
    </r>
  </si>
  <si>
    <r>
      <t>ремонт просевших отмосток, ремонт оконных рам,</t>
    </r>
    <r>
      <rPr>
        <b/>
        <sz val="10"/>
        <rFont val="Arial"/>
        <family val="2"/>
      </rPr>
      <t>,</t>
    </r>
    <r>
      <rPr>
        <sz val="10"/>
        <rFont val="Arial"/>
        <family val="0"/>
      </rPr>
      <t>дверных полотен и коробок, лестничных перил, фурнитуры,</t>
    </r>
    <r>
      <rPr>
        <b/>
        <sz val="10"/>
        <rFont val="Arial"/>
        <family val="2"/>
      </rPr>
      <t xml:space="preserve"> замена разбитых стекол-0,71м2</t>
    </r>
  </si>
  <si>
    <t xml:space="preserve">текущий ремонт электротехнических устройств, замена ламп-6шт.,  выкл. 1шт. </t>
  </si>
  <si>
    <t>вентиляция:</t>
  </si>
  <si>
    <r>
      <t>ремонт рам оконных</t>
    </r>
    <r>
      <rPr>
        <b/>
        <sz val="10"/>
        <rFont val="Arial"/>
        <family val="2"/>
      </rPr>
      <t xml:space="preserve">, </t>
    </r>
    <r>
      <rPr>
        <sz val="10"/>
        <rFont val="Arial"/>
        <family val="0"/>
      </rPr>
      <t xml:space="preserve">коробки дверных полотен, </t>
    </r>
    <r>
      <rPr>
        <sz val="10"/>
        <rFont val="Arial"/>
        <family val="2"/>
      </rPr>
      <t>пожарной двери</t>
    </r>
    <r>
      <rPr>
        <b/>
        <sz val="10"/>
        <rFont val="Arial"/>
        <family val="2"/>
      </rPr>
      <t>,</t>
    </r>
    <r>
      <rPr>
        <sz val="10"/>
        <rFont val="Arial"/>
        <family val="0"/>
      </rPr>
      <t>тамбурные, межэтажные сорванные заполнения дверных полотен</t>
    </r>
  </si>
  <si>
    <t>Ремонт подъезда № 1</t>
  </si>
  <si>
    <t>Год 2011</t>
  </si>
  <si>
    <t>Год 2011 (9м-ев)</t>
  </si>
  <si>
    <t>Год 2011 (10м-ев)</t>
  </si>
  <si>
    <t>Год 2011 (7мес.)</t>
  </si>
  <si>
    <t>Год 2011 (10мес.)</t>
  </si>
  <si>
    <t>Год 2011   (5 мес.)</t>
  </si>
  <si>
    <r>
      <t xml:space="preserve">уборка газона, </t>
    </r>
    <r>
      <rPr>
        <b/>
        <sz val="10"/>
        <rFont val="Arial"/>
        <family val="2"/>
      </rPr>
      <t>выкашивание травы</t>
    </r>
  </si>
  <si>
    <r>
      <t xml:space="preserve">уборка газона, </t>
    </r>
    <r>
      <rPr>
        <b/>
        <sz val="10"/>
        <rFont val="Arial"/>
        <family val="2"/>
      </rPr>
      <t>выкашивание газона</t>
    </r>
  </si>
  <si>
    <r>
      <t>уборка газона,</t>
    </r>
    <r>
      <rPr>
        <b/>
        <sz val="10"/>
        <rFont val="Arial"/>
        <family val="2"/>
      </rPr>
      <t xml:space="preserve"> выкашивание травы</t>
    </r>
  </si>
  <si>
    <t>Фактические затраты за 9 м-ев 2011г.</t>
  </si>
  <si>
    <t>договор с МСА</t>
  </si>
  <si>
    <r>
      <t>сети холодного и горячего водоснабжения:</t>
    </r>
    <r>
      <rPr>
        <b/>
        <sz val="10"/>
        <rFont val="Arial"/>
        <family val="2"/>
      </rPr>
      <t>ремонт в подвале-труба оц. 2м., труба ПВХ 4м.,муфта 4шт.,к/гайка 4шт.,угольник 4шт.,кран шар.3шт.,отвод 2шт.,тройник 2шт.</t>
    </r>
  </si>
  <si>
    <t>канализация:ремонт в подвале:труба диам.110-13м.,диам.50-4м.труба медн. 1,5м.,муфта 1шт.,отвод 3шт.,тройник 4шт.,угольник 4шт.,перех.3шт.</t>
  </si>
  <si>
    <r>
      <t>оборудование сети центрального отопления:</t>
    </r>
    <r>
      <rPr>
        <b/>
        <sz val="10"/>
        <rFont val="Arial"/>
        <family val="2"/>
      </rPr>
      <t>ремонт сети в подвале-кран шар.1шт.,муфта, к/гайка -по 1шт.</t>
    </r>
  </si>
  <si>
    <t xml:space="preserve">текущий ремонт электротехнических устройств, замена ламп 159шт.,ЛД-1шт.,патрон 2шт.,стартер 2шт.КИП </t>
  </si>
  <si>
    <t>ремонт, регулировка, промывка, испытание, расконсервация систем центрального отопления,</t>
  </si>
  <si>
    <t>завоз песка</t>
  </si>
  <si>
    <t>договор</t>
  </si>
  <si>
    <t>договор с МУП ЦМР</t>
  </si>
  <si>
    <t>замена и ремонт оконных рам 4шт., под. 1,2,6</t>
  </si>
  <si>
    <r>
      <t xml:space="preserve">  </t>
    </r>
    <r>
      <rPr>
        <b/>
        <sz val="10"/>
        <rFont val="Arial"/>
        <family val="2"/>
      </rPr>
      <t>ремонт доводчиков под.1,2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>установка нов. доводчика 1шт.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замена разбитых стекол-4,76 м2 под 2,.5; ремонт п/я</t>
    </r>
  </si>
  <si>
    <t>протечки в отдельных местах кровли</t>
  </si>
  <si>
    <t>утрата связи отдельных элементов  наружных стен</t>
  </si>
  <si>
    <t>Техническое обслуживание, осмотры  строительных конструкций, в том числе:</t>
  </si>
  <si>
    <t>Промывка СТС</t>
  </si>
  <si>
    <t>Рентабельность</t>
  </si>
  <si>
    <t>Оплачено собственниками и нанимателями</t>
  </si>
  <si>
    <t>Долг по оплате на 01.10.2011</t>
  </si>
  <si>
    <t>Финансовый результат</t>
  </si>
  <si>
    <t>Договор с "Космос"</t>
  </si>
  <si>
    <r>
      <t xml:space="preserve">канализация: </t>
    </r>
    <r>
      <rPr>
        <b/>
        <sz val="10"/>
        <rFont val="Arial"/>
        <family val="2"/>
      </rPr>
      <t>подвал-труба ПВХ 2м.,отвод-2шт.,перех.-1шт</t>
    </r>
    <r>
      <rPr>
        <sz val="10"/>
        <rFont val="Arial"/>
        <family val="0"/>
      </rPr>
      <t>.</t>
    </r>
  </si>
  <si>
    <t>оборудование сети центрального отопления- ремонт батареи под.1,4; подвал-кран шар-36шт.,муфта-12шт.,к/гайка-12шт.</t>
  </si>
  <si>
    <r>
      <t>сети холодного и горячего водоснабжения:</t>
    </r>
    <r>
      <rPr>
        <b/>
        <sz val="10"/>
        <rFont val="Arial"/>
        <family val="2"/>
      </rPr>
      <t xml:space="preserve"> подвал-труба оц. 7,5м.,муфта 5шт.,к/гайка 5шт.,футорка 2шт.,кран шар.2шт.</t>
    </r>
  </si>
  <si>
    <r>
      <t>оборудование сети центрального отопления:</t>
    </r>
    <r>
      <rPr>
        <b/>
        <sz val="10"/>
        <rFont val="Arial"/>
        <family val="2"/>
      </rPr>
      <t xml:space="preserve"> подвал-кран шар.-1шт.,к/гайка-1шт.,муфта-1шт.</t>
    </r>
  </si>
  <si>
    <r>
      <t>сети холодного и горячего водоснабжения:</t>
    </r>
    <r>
      <rPr>
        <b/>
        <sz val="10"/>
        <rFont val="Arial"/>
        <family val="2"/>
      </rPr>
      <t>подвал-труба медн.4м.,кран шар.-2м.,соед.-6ш</t>
    </r>
    <r>
      <rPr>
        <sz val="10"/>
        <rFont val="Arial"/>
        <family val="0"/>
      </rPr>
      <t>т.</t>
    </r>
  </si>
  <si>
    <r>
      <t xml:space="preserve">канализация: </t>
    </r>
    <r>
      <rPr>
        <b/>
        <sz val="10"/>
        <rFont val="Arial"/>
        <family val="2"/>
      </rPr>
      <t>подвал-труба ПВХ-5м.,отвод-1шт.,тройник-1шт.,муфта-1шт.</t>
    </r>
  </si>
  <si>
    <r>
      <t>сети холодного и горячего водоснабжения:</t>
    </r>
    <r>
      <rPr>
        <b/>
        <sz val="10"/>
        <rFont val="Arial"/>
        <family val="2"/>
      </rPr>
      <t>подвал-тр.оцинк.-1,5м.,кран шар.-2шт.,муфта-2шт.,к/г-2шт.</t>
    </r>
  </si>
  <si>
    <t>канализация:ремонт в подвале-труба медн.1,5м., тр. ПВХ-1,5м.,муфта 1шт, отвод 1шт., тройник 5шт.,угольник 4шт.,перех.-2шт., загл.-1шт.</t>
  </si>
  <si>
    <t>сети холодного и горячего водоснабжения:ремонт в подвале-кран шар.2шт.,муфта 2шт.,к/гайка 2шт.Ремонт по стояку-тр.оцинк.1,5м.,гайка-5шт.,муфта-5шт.</t>
  </si>
  <si>
    <r>
      <t>оборудование сети центрального отопления:</t>
    </r>
    <r>
      <rPr>
        <b/>
        <sz val="10"/>
        <rFont val="Arial"/>
        <family val="2"/>
      </rPr>
      <t>ремонт батареи в под.№ 1.Технич.этаж-тр.оц.-1,5м.,хомут-2шт.,кран шар.-3шт.,муфта-3шт.</t>
    </r>
  </si>
  <si>
    <t>сети холодного и горячего водоснабжения:</t>
  </si>
  <si>
    <r>
      <t xml:space="preserve">ремонт просевших отмосток, </t>
    </r>
    <r>
      <rPr>
        <sz val="10"/>
        <rFont val="Arial"/>
        <family val="2"/>
      </rPr>
      <t xml:space="preserve">ремонт оконных рам </t>
    </r>
    <r>
      <rPr>
        <b/>
        <sz val="10"/>
        <rFont val="Arial"/>
        <family val="2"/>
      </rPr>
      <t>,</t>
    </r>
    <r>
      <rPr>
        <sz val="10"/>
        <rFont val="Arial"/>
        <family val="0"/>
      </rPr>
      <t xml:space="preserve"> дверных полотен и коробок,</t>
    </r>
    <r>
      <rPr>
        <sz val="10"/>
        <rFont val="Arial"/>
        <family val="2"/>
      </rPr>
      <t>ремонт доводчика</t>
    </r>
    <r>
      <rPr>
        <b/>
        <sz val="10"/>
        <rFont val="Arial"/>
        <family val="2"/>
      </rPr>
      <t>.,</t>
    </r>
    <r>
      <rPr>
        <sz val="10"/>
        <rFont val="Arial"/>
        <family val="0"/>
      </rPr>
      <t xml:space="preserve"> лестничных перил, фурнитуры, </t>
    </r>
    <r>
      <rPr>
        <b/>
        <sz val="10"/>
        <rFont val="Arial"/>
        <family val="2"/>
      </rPr>
      <t>замена разбитых стекол-0,51м2</t>
    </r>
  </si>
  <si>
    <t xml:space="preserve">восстановление освещения, замена ламп 14 шт.таймер-1шт.,кнопка-1шт.,свет.-3шт.,провод-25м, кабель-20м. </t>
  </si>
  <si>
    <t>текущий ремонт электротехнических устройств, ремонт реле в под1, замена ламп - 5шт., выкл. 2шт.</t>
  </si>
  <si>
    <t xml:space="preserve">текущий ремонт электротехнических устройств,восстан.освещения шахты лифта, замена ламп-48шт.,выкл.-3шт. </t>
  </si>
  <si>
    <t xml:space="preserve">текущий ремонт электротехнических устройств, замена ламп-10шт.,выкл.-3шт.,стартер-7шт., кнопка - 1шт. </t>
  </si>
  <si>
    <t xml:space="preserve">текущий ремонт электротехнических устройств, замена ламп-17шт., </t>
  </si>
  <si>
    <r>
      <t>сети холодного и горячего водоснабжения:</t>
    </r>
  </si>
  <si>
    <r>
      <t>протечки в отдельных местах кровли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повреждение системы водоотвода</t>
    </r>
  </si>
  <si>
    <r>
      <t xml:space="preserve">ремонт просевших отмосток, ремонт оконных рам, дверных полотен и коробок, лестничных перил, фурнитуры, </t>
    </r>
    <r>
      <rPr>
        <b/>
        <sz val="10"/>
        <rFont val="Arial"/>
        <family val="2"/>
      </rPr>
      <t xml:space="preserve">замена разбитых стекол- </t>
    </r>
  </si>
  <si>
    <t>сети холодного и горячего водоснабжения:ремонт в подвале- шар.кр.5шт.,муфта-8шт.,к/гайка-4шт.труба медн. 2,5м., труба оцинк. 10м.,</t>
  </si>
  <si>
    <r>
      <t>канализация:</t>
    </r>
    <r>
      <rPr>
        <b/>
        <sz val="10"/>
        <rFont val="Arial"/>
        <family val="2"/>
      </rPr>
      <t>ремонт по стояку-труба ПВХ- 2м.,тройник 1шт.,муфта -1шт., отвод -1шт.</t>
    </r>
  </si>
  <si>
    <r>
      <t>канализация-</t>
    </r>
    <r>
      <rPr>
        <b/>
        <sz val="10"/>
        <rFont val="Arial"/>
        <family val="2"/>
      </rPr>
      <t>ремонт по стояку: труба ПВХ-2м.,отвод-2шт.,перех.-1шт., муфта-1шт.</t>
    </r>
  </si>
  <si>
    <r>
      <t>сети холодного и горячего водоснабжения:</t>
    </r>
    <r>
      <rPr>
        <b/>
        <sz val="10"/>
        <rFont val="Arial"/>
        <family val="2"/>
      </rPr>
      <t>подвал-труба медн-1,5м,обжим-4шт.,кран шар-2шт.,соед.4шт.,труба оц. 2м.,отвод 1м.,муфта 1шт.,к/гайка 1шт.</t>
    </r>
  </si>
  <si>
    <r>
      <t>сети холодного и горячего водоснабжения:</t>
    </r>
    <r>
      <rPr>
        <b/>
        <sz val="10"/>
        <rFont val="Arial"/>
        <family val="2"/>
      </rPr>
      <t>устранение течи воды в подвале, труба оц.-2м.,к/г-4шт.,муфта-4шт.,труба мкдн.2м.,соед. 2шт.</t>
    </r>
  </si>
  <si>
    <r>
      <t xml:space="preserve">сети холодного и горячего водоснабжения:ремонт в </t>
    </r>
    <r>
      <rPr>
        <b/>
        <sz val="10"/>
        <rFont val="Arial"/>
        <family val="2"/>
      </rPr>
      <t>подвале и мус/кам.-тройник-6шт.,к/гайка-19шт.,кран шар.-1шт.,муфта-9шт.</t>
    </r>
  </si>
  <si>
    <r>
      <t xml:space="preserve">канализация: </t>
    </r>
    <r>
      <rPr>
        <b/>
        <sz val="10"/>
        <rFont val="Arial"/>
        <family val="2"/>
      </rPr>
      <t>подвал- труба ПВХ 9,5м.,кран шар.4шт.,муфта 5шт.,к/гайка 4шт.,угольник 4шт</t>
    </r>
    <r>
      <rPr>
        <sz val="10"/>
        <rFont val="Arial"/>
        <family val="0"/>
      </rPr>
      <t>.,</t>
    </r>
    <r>
      <rPr>
        <b/>
        <sz val="10"/>
        <rFont val="Arial"/>
        <family val="2"/>
      </rPr>
      <t>перех.-1шт.,патрубок-1шт., тройник 1шт.,отвод-1шт.</t>
    </r>
  </si>
  <si>
    <r>
      <t>оборудование сети центрального отопления:</t>
    </r>
    <r>
      <rPr>
        <b/>
        <sz val="10"/>
        <rFont val="Arial"/>
        <family val="2"/>
      </rPr>
      <t>подвал-задв.чуг.-1шт.,болт-8шт.,гайка-8шт.,ремонт батареи в под.1</t>
    </r>
  </si>
  <si>
    <t>сети холодного и горячего водоснабжения-ремонт в подвале:устан.вентиля на ХВ,ремонт ГВС-труба оц.9пм.,к/гайка 4шт.,загл.-1шт.,муфта чуг. 4шт.; техн.этаж-кран шар.1шт.,муфта 3шт.,к/гайка 2шт., тройник 4шт.</t>
  </si>
  <si>
    <r>
      <t xml:space="preserve">сети холодного и горячего водоснабжения: </t>
    </r>
    <r>
      <rPr>
        <b/>
        <sz val="10"/>
        <rFont val="Arial"/>
        <family val="2"/>
      </rPr>
      <t>техн.этаж и подвал-кран шар.2шт.,муфта 5шт.,к/гайка 5шт., труба оц.1,5м</t>
    </r>
    <r>
      <rPr>
        <sz val="10"/>
        <rFont val="Arial"/>
        <family val="0"/>
      </rPr>
      <t>.</t>
    </r>
  </si>
  <si>
    <r>
      <t>сети холодного и горячего водоснабжения:</t>
    </r>
    <r>
      <rPr>
        <b/>
        <sz val="10"/>
        <rFont val="Arial"/>
        <family val="2"/>
      </rPr>
      <t>ТП-устранение течи в лежаке; подвал-кран шар. 6шт.,муфта-2шт.,к/гайка-2шт.крестов. 4шт.,тройник 4шт.,труба оц. 1м.,труба ПВХ 2м.</t>
    </r>
  </si>
  <si>
    <t>Отчисление на кап.ремонт</t>
  </si>
  <si>
    <t>Факт.затраты за год</t>
  </si>
  <si>
    <t>Содержание и ТО:</t>
  </si>
  <si>
    <t>Начислено</t>
  </si>
  <si>
    <t>Оплачено</t>
  </si>
  <si>
    <t>Долг</t>
  </si>
  <si>
    <t>Отчисления на кап.ремонт:</t>
  </si>
  <si>
    <t>Дополнительный доход: банк ВТБ</t>
  </si>
  <si>
    <t xml:space="preserve">Дополнительный доход: </t>
  </si>
  <si>
    <t>Год 2011                ( 5 мес.)</t>
  </si>
  <si>
    <t>Первооткрывателей 2</t>
  </si>
  <si>
    <t>Факт затраты год 2011(3м-ца)</t>
  </si>
  <si>
    <t>Факт затраты за год (1мес)</t>
  </si>
  <si>
    <t>Горняков 1</t>
  </si>
  <si>
    <t>Факт затраты год 2011(1мес)</t>
  </si>
  <si>
    <t>Героев 4</t>
  </si>
  <si>
    <r>
      <t xml:space="preserve">протечки в отдельных местах кровли, </t>
    </r>
    <r>
      <rPr>
        <b/>
        <sz val="10"/>
        <rFont val="Arial"/>
        <family val="2"/>
      </rPr>
      <t>ремонт козырьков вх.двери под.1</t>
    </r>
  </si>
  <si>
    <t xml:space="preserve"> остекл 14,4 м2; установка ДВП 2,47м2; установка фанеры у п/я 0,45м2</t>
  </si>
  <si>
    <t>ремонт дверей-6шт.</t>
  </si>
  <si>
    <t>ремонт козырька вх.двери 3шт. Оц.лист 4,2м2.</t>
  </si>
  <si>
    <r>
      <t xml:space="preserve">деформирование рам оконных и коробки дверных полотен, </t>
    </r>
    <r>
      <rPr>
        <b/>
        <sz val="10"/>
        <rFont val="Arial"/>
        <family val="2"/>
      </rPr>
      <t>ремонт вх.двери и установка пружин - 2шт.</t>
    </r>
  </si>
  <si>
    <t>утрата связи отдельных элементов наружных стен, угрожающая их выпадению</t>
  </si>
  <si>
    <r>
      <t xml:space="preserve">ремонт просевших отмосток, ремонт оконных рам, дверных полотен и коробок, лестничных перил, фурнитуры, </t>
    </r>
    <r>
      <rPr>
        <b/>
        <sz val="10"/>
        <rFont val="Arial"/>
        <family val="2"/>
      </rPr>
      <t>замена разбитых стекол - 3,72м2.</t>
    </r>
  </si>
  <si>
    <r>
      <t xml:space="preserve">ремонт просевших отмосток, ремонт оконных рам, дверных полотен и коробок, </t>
    </r>
    <r>
      <rPr>
        <b/>
        <sz val="10"/>
        <rFont val="Arial"/>
        <family val="2"/>
      </rPr>
      <t>установка новой двери п.1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ремонт вх.двери запасного выхода,</t>
    </r>
    <r>
      <rPr>
        <sz val="10"/>
        <rFont val="Arial"/>
        <family val="0"/>
      </rPr>
      <t xml:space="preserve"> лестничных перил, фурнитуры, замена разбитых стекол</t>
    </r>
  </si>
  <si>
    <t>восстановление освещения около м/камер, м/приемн. во всех корпусах,  замена колодки предохранителя ВРУ, ремонт эл.щита, замена лампочек -372 шт. ЛД-27 шт., патрон-14шт., выкп.-7 шт.стартер-22шт., након.-9шт,светильники-4шт.розетки-5шт. Кабель, кабель-канал - 278,8м. коробка распр.-4шт шланг гофр.-200м.</t>
  </si>
  <si>
    <t xml:space="preserve">текущий ремонт электротехнических устройств, замена ламп-14шт.,ЛБ40-3шт., патроны-5шт.,светильн.-1шт. </t>
  </si>
  <si>
    <t xml:space="preserve">текущий ремонт электротехнических устройств, замена ламп-7шт., выкл.-2шт. </t>
  </si>
  <si>
    <t xml:space="preserve">текущий ремонт электротехнических устройств, замена ламп-10шт., ЛД- 1шт., патрон- 1шт. </t>
  </si>
  <si>
    <t xml:space="preserve">текущий ремонт электротехнических устройств, замена ламп 104шт.,патрон-3шт., светильник-1шт., выкл.-1, стартер-1. </t>
  </si>
  <si>
    <t>текущий ремонт электротехнических устройств, замена ламп-83шт., выкл.-1шт. Замена АВ в под.6., патрон- 1шт.</t>
  </si>
  <si>
    <t xml:space="preserve">текущий ремонт электротехнических устройств, замена ламп-114шт.,патронов-4шт.,розеток-1шт., выкл.-1шт.,ЛД-1шт. </t>
  </si>
  <si>
    <t xml:space="preserve">текущий ремонт электротехнических устройств, замена ламп-148шт., плафон-1шт.,замена АВ </t>
  </si>
  <si>
    <t xml:space="preserve">текущий ремонт электротехнических устройств, замена ламп 50шт.,стартеров 1шт.,ЛД 9шт., выкл.-2шт., роз-4шт., кабель - 1м. </t>
  </si>
  <si>
    <t xml:space="preserve">текущий ремонт электротехнических устройств, замена ламп-245шт.,ЛД-1шт.,патрон 2шт.,стартер 2шт.,выкл.-1шт.,провод АЛ-1м., розетки - 3шт. </t>
  </si>
  <si>
    <t>текущий ремонт электротехнических устройств, замена ламп-167шт., выкл.-2шт., патрон-1шт.,кабель-6м.</t>
  </si>
  <si>
    <t xml:space="preserve">текущий ремонт электротехнических устройств, замена ламп 107шт.,ЛБ 5шт.,патрон 3шт.,стартер 1шт. </t>
  </si>
  <si>
    <r>
      <t xml:space="preserve">текущий ремонт электротехнических устройств: </t>
    </r>
    <r>
      <rPr>
        <b/>
        <sz val="10"/>
        <rFont val="Arial"/>
        <family val="2"/>
      </rPr>
      <t>ППР эл.установок,замена ламп-12шт.</t>
    </r>
    <r>
      <rPr>
        <sz val="10"/>
        <rFont val="Arial"/>
        <family val="0"/>
      </rPr>
      <t xml:space="preserve"> </t>
    </r>
  </si>
  <si>
    <t xml:space="preserve">текущий ремонт электротехнических устройств, замена ламп 90шт.,реле 1шт., плафон-1шт., роз.-2шт., кнопка - 1шт. </t>
  </si>
  <si>
    <t xml:space="preserve">текущий ремонт электротехнических устройств, замена ламп798 шт.,ЛД-2шт. </t>
  </si>
  <si>
    <t xml:space="preserve">текущий ремонт электротехнических устройств-замена АВ, замена ламп 24шт.,  ЛД-1шт.,выкл.-1шт., свет.-1шт. </t>
  </si>
  <si>
    <t xml:space="preserve">текущий ремонт электротехнических устройств, замена ламп 72шт.,выкл. 3шт.,розетка 1шт.,плафон-1шт., ЛД-2шт., свет.-1шт. </t>
  </si>
  <si>
    <t xml:space="preserve">текущий ремонт электротехнических устройств, замена ламп 125 шт., патрон - 1шт. </t>
  </si>
  <si>
    <t>текущий ремонт электротехнических устройств, замена ламп 21шт., ЛД 9шт.,стартера 4шт.,выкл.-2шт., свет.-2шт., патрон - 1шт., роз. - 1шт.</t>
  </si>
  <si>
    <t xml:space="preserve">текущий ремонт электротехнических устройств, замена ламп 114шт., ЛД - 4шт. </t>
  </si>
  <si>
    <t xml:space="preserve">текущий ремонт электротехнических устройств, замена ламп 162 шт.,ЛБ 3шт. </t>
  </si>
  <si>
    <t xml:space="preserve">текущий ремонт электротехнических устройств в подвале п.4, замена ламп 8шт., ЛД-2шт.,патрон 2шт.,светильник 4шт. </t>
  </si>
  <si>
    <t xml:space="preserve">текущий ремонт электротехнических устройств, замена ламп132шт., ЛД - 1шт.,патрон 20шт.,светильн.1шт.,кабель 70м.,сжим 10шт.КИП </t>
  </si>
  <si>
    <t xml:space="preserve">текущий ремонт электротехнических устройств,замена ламп 47шт.,патрон 2шт., розетки-2шт.,ЛД-10шт., свет. -2шт. </t>
  </si>
  <si>
    <t xml:space="preserve">текущий ремонт электротехнических устройств, замена ламп-17шт., светильн.-2шт., выкл. 1шт. </t>
  </si>
  <si>
    <t xml:space="preserve">текущий ремонт электротехнических устройств,ремонт кнопок,замена ламп-18шт.,кнопки-4шт., выкл. 2шт. </t>
  </si>
  <si>
    <t>текущий ремонт электротехнических устройств, ремонт реле в под1, замена ламп - 3шт.</t>
  </si>
  <si>
    <t xml:space="preserve">текущий ремонт электротехнических устройств, замена ламп-21шт., ЛД-3шт.,выкл.-3шт.,стартер-11шт., свет.-2шт. </t>
  </si>
  <si>
    <t>текущий ремонт электротехнических устройств, замена ламп-34шт.</t>
  </si>
  <si>
    <r>
      <t xml:space="preserve">текущий ремонт электротехнических устройств, </t>
    </r>
    <r>
      <rPr>
        <b/>
        <sz val="10"/>
        <rFont val="Arial"/>
        <family val="2"/>
      </rPr>
      <t xml:space="preserve">замена ламп-12шт. </t>
    </r>
  </si>
  <si>
    <t xml:space="preserve">восстановление освещения, замена ламп 29шт.таймер-1шт.,кнопка-1шт.,свет.-3шт.,провод-25м, кабель-20м. </t>
  </si>
  <si>
    <t>восстановление освещения: замена ламп 8шт.,реле 2шт.под.3, тамер-2шт.,свет.-3шт.,провод-75м.,кабель-70м.,кнопка звонка-20шт., выкл. 1шт.</t>
  </si>
  <si>
    <r>
      <t xml:space="preserve">протечки в отдельных местах кровли, </t>
    </r>
    <r>
      <rPr>
        <b/>
        <sz val="10"/>
        <rFont val="Arial"/>
        <family val="2"/>
      </rPr>
      <t>ремонт козырька над вентканалом, закрытие слуховых окон</t>
    </r>
  </si>
  <si>
    <r>
      <t xml:space="preserve">ремонт просевших отмосток, ремонт оконных рам, дверных полотен и коробок, лестничных перил, фурнитуры, </t>
    </r>
    <r>
      <rPr>
        <b/>
        <sz val="10"/>
        <rFont val="Arial"/>
        <family val="2"/>
      </rPr>
      <t>замена разбитых стекол-5,27 м2</t>
    </r>
  </si>
  <si>
    <r>
      <t>ремонт просевших отмосток, ремонт оконных рам,</t>
    </r>
    <r>
      <rPr>
        <b/>
        <sz val="10"/>
        <rFont val="Arial"/>
        <family val="2"/>
      </rPr>
      <t>установка нового доводчика, установка пружин пож.выхода,ремонт двери в подвал</t>
    </r>
    <r>
      <rPr>
        <sz val="10"/>
        <rFont val="Arial"/>
        <family val="0"/>
      </rPr>
      <t xml:space="preserve">, лестничных перил, фурнитуры, </t>
    </r>
    <r>
      <rPr>
        <b/>
        <sz val="10"/>
        <rFont val="Arial"/>
        <family val="2"/>
      </rPr>
      <t>замена разбитых стекол - 0,97м2</t>
    </r>
  </si>
  <si>
    <r>
      <t xml:space="preserve">ремонт просевших отмосток, ремонт оконных рам, дверных полотен и коробок, </t>
    </r>
    <r>
      <rPr>
        <b/>
        <sz val="10"/>
        <rFont val="Arial"/>
        <family val="2"/>
      </rPr>
      <t>ремонт доводчика -1шт</t>
    </r>
    <r>
      <rPr>
        <sz val="10"/>
        <rFont val="Arial"/>
        <family val="0"/>
      </rPr>
      <t xml:space="preserve">.,лестничных перил, фурнитуры, </t>
    </r>
    <r>
      <rPr>
        <b/>
        <sz val="10"/>
        <rFont val="Arial"/>
        <family val="2"/>
      </rPr>
      <t>замена разбитых стекол-9,01м2</t>
    </r>
  </si>
  <si>
    <r>
      <t xml:space="preserve">ремонт просевших отмосток, ремонт оконных рам, дверных полотен и коробок, лестничных перил, фурнитуры, </t>
    </r>
    <r>
      <rPr>
        <b/>
        <sz val="10"/>
        <rFont val="Arial"/>
        <family val="2"/>
      </rPr>
      <t>замена разбитых стекол- 2,95м2 (пож.выход, 4 этаж</t>
    </r>
    <r>
      <rPr>
        <sz val="10"/>
        <rFont val="Arial"/>
        <family val="0"/>
      </rPr>
      <t>)</t>
    </r>
  </si>
  <si>
    <t xml:space="preserve">утрата связи отдельных элементов наружных стен, </t>
  </si>
  <si>
    <r>
      <t>ремонт просевших отмосток, ремонт оконных рам, дверей -</t>
    </r>
    <r>
      <rPr>
        <b/>
        <sz val="10"/>
        <rFont val="Arial"/>
        <family val="2"/>
      </rPr>
      <t>установка дверных ручек - 2шт.</t>
    </r>
    <r>
      <rPr>
        <sz val="10"/>
        <rFont val="Arial"/>
        <family val="0"/>
      </rPr>
      <t xml:space="preserve">, лестничных перил, фурнитуры, </t>
    </r>
    <r>
      <rPr>
        <b/>
        <sz val="10"/>
        <rFont val="Arial"/>
        <family val="2"/>
      </rPr>
      <t>замена разбитых стекол - 1,973м2.</t>
    </r>
  </si>
  <si>
    <r>
      <t>устранение неисправностей стен, фасадов, кровли, перекрытий чердачных -</t>
    </r>
    <r>
      <rPr>
        <b/>
        <sz val="10"/>
        <rFont val="Arial"/>
        <family val="2"/>
      </rPr>
      <t xml:space="preserve"> закрытие слухового окна жестью </t>
    </r>
    <r>
      <rPr>
        <sz val="10"/>
        <rFont val="Arial"/>
        <family val="0"/>
      </rPr>
      <t>и над техническими подвалами, оконных и дверных заполнений</t>
    </r>
  </si>
  <si>
    <r>
      <t xml:space="preserve">ремонт просевших отмосток, ремонт оконных рам, </t>
    </r>
    <r>
      <rPr>
        <b/>
        <sz val="10"/>
        <rFont val="Arial"/>
        <family val="2"/>
      </rPr>
      <t>дверных полотен и коробок -1шт.п.2,</t>
    </r>
    <r>
      <rPr>
        <sz val="10"/>
        <rFont val="Arial"/>
        <family val="0"/>
      </rPr>
      <t xml:space="preserve"> лестничных перил, фурнитуры, </t>
    </r>
    <r>
      <rPr>
        <b/>
        <sz val="10"/>
        <rFont val="Arial"/>
        <family val="2"/>
      </rPr>
      <t>замена разбитых стекол-1,56м2 под.2</t>
    </r>
  </si>
  <si>
    <r>
      <t xml:space="preserve">ремонт просевших отмосток, ремонт оконных рам, </t>
    </r>
    <r>
      <rPr>
        <b/>
        <sz val="10"/>
        <rFont val="Arial"/>
        <family val="2"/>
      </rPr>
      <t>дверей -1шт,под.1,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лестничных перил -16 п.м</t>
    </r>
    <r>
      <rPr>
        <sz val="10"/>
        <rFont val="Arial"/>
        <family val="0"/>
      </rPr>
      <t xml:space="preserve">., фурнитуры, </t>
    </r>
    <r>
      <rPr>
        <b/>
        <sz val="10"/>
        <rFont val="Arial"/>
        <family val="2"/>
      </rPr>
      <t>замена разбитых стекол -1,83м2</t>
    </r>
  </si>
  <si>
    <r>
      <t xml:space="preserve">трещины, выбоины на лестничных площадках, ослабление крепления ограждений, поручней и предохранительных сеток, повреждение перил, </t>
    </r>
    <r>
      <rPr>
        <b/>
        <sz val="10"/>
        <rFont val="Arial"/>
        <family val="2"/>
      </rPr>
      <t>обналичка штроб доской-5м</t>
    </r>
    <r>
      <rPr>
        <sz val="10"/>
        <rFont val="Arial"/>
        <family val="0"/>
      </rPr>
      <t>.</t>
    </r>
  </si>
  <si>
    <r>
      <t xml:space="preserve">протечки в отдельных местах кровли, </t>
    </r>
    <r>
      <rPr>
        <b/>
        <sz val="10"/>
        <rFont val="Arial"/>
        <family val="2"/>
      </rPr>
      <t>установка экранов на вентшахты- жесть 1,2м2</t>
    </r>
  </si>
  <si>
    <r>
      <t xml:space="preserve">протечки в отдельных местах кровли, </t>
    </r>
    <r>
      <rPr>
        <b/>
        <sz val="10"/>
        <rFont val="Arial"/>
        <family val="2"/>
      </rPr>
      <t>ремонт вентгрибка,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 повреждение системы водоотвода</t>
    </r>
  </si>
  <si>
    <r>
      <t xml:space="preserve">трещины, выбоины на лестничных площадках, ослабление крепления ограждений, поручней и предохранительных сеток, повреждение перил, </t>
    </r>
    <r>
      <rPr>
        <b/>
        <sz val="10"/>
        <rFont val="Arial"/>
        <family val="2"/>
      </rPr>
      <t>установка п/я</t>
    </r>
  </si>
  <si>
    <r>
      <t xml:space="preserve">устранение неисправностей стен, фасадов, кровли, </t>
    </r>
    <r>
      <rPr>
        <b/>
        <sz val="10"/>
        <rFont val="Arial"/>
        <family val="2"/>
      </rPr>
      <t>закрытие слуховых окон,</t>
    </r>
    <r>
      <rPr>
        <sz val="10"/>
        <rFont val="Arial"/>
        <family val="0"/>
      </rPr>
      <t xml:space="preserve">перекрытий чердачных и над техническими подвалами, оконных и </t>
    </r>
    <r>
      <rPr>
        <b/>
        <sz val="10"/>
        <rFont val="Arial"/>
        <family val="2"/>
      </rPr>
      <t>дверных заполнений</t>
    </r>
  </si>
  <si>
    <r>
      <t xml:space="preserve">ремонт просевших отмосток, ремонт оконных рам, дверных полотен и коробок, </t>
    </r>
    <r>
      <rPr>
        <b/>
        <sz val="10"/>
        <rFont val="Arial"/>
        <family val="2"/>
      </rPr>
      <t>ремонт доводчика-1шт.,</t>
    </r>
    <r>
      <rPr>
        <sz val="10"/>
        <rFont val="Arial"/>
        <family val="0"/>
      </rPr>
      <t xml:space="preserve">лестничных перил, фурнитуры, </t>
    </r>
    <r>
      <rPr>
        <b/>
        <sz val="10"/>
        <rFont val="Arial"/>
        <family val="2"/>
      </rPr>
      <t>замена разбитых стекол-3,63м2 п.3</t>
    </r>
  </si>
  <si>
    <r>
      <t xml:space="preserve">ремонт просевших отмосток, ремонт оконных рам, </t>
    </r>
    <r>
      <rPr>
        <b/>
        <sz val="10"/>
        <rFont val="Arial"/>
        <family val="2"/>
      </rPr>
      <t>дверных полотен и коробок под.4, 5.</t>
    </r>
    <r>
      <rPr>
        <sz val="10"/>
        <rFont val="Arial"/>
        <family val="0"/>
      </rPr>
      <t xml:space="preserve">,лестничных перил, фурнитуры, </t>
    </r>
    <r>
      <rPr>
        <b/>
        <sz val="10"/>
        <rFont val="Arial"/>
        <family val="2"/>
      </rPr>
      <t>замена разбитых стекол-0,5м2.</t>
    </r>
  </si>
  <si>
    <r>
      <t xml:space="preserve">ремонт просевших отмосток, ремонт оконных рам, дверных полотен и коробок, лестничных перил, </t>
    </r>
    <r>
      <rPr>
        <b/>
        <sz val="10"/>
        <rFont val="Arial"/>
        <family val="2"/>
      </rPr>
      <t>установка проушины под.5,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замена разбитых стекол- 2,54м2.</t>
    </r>
  </si>
  <si>
    <r>
      <t>утрата связи отдельных элементов наружных стен -кв.85,88</t>
    </r>
    <r>
      <rPr>
        <sz val="10"/>
        <rFont val="Arial"/>
        <family val="0"/>
      </rPr>
      <t>, угрожающая их выпадению</t>
    </r>
  </si>
  <si>
    <r>
      <t>ремонт просевших отмосток, ремонт оконных рам, дверных полотен и коробок, лестничных перил, фурнитуры,</t>
    </r>
    <r>
      <rPr>
        <b/>
        <sz val="10"/>
        <rFont val="Arial"/>
        <family val="2"/>
      </rPr>
      <t xml:space="preserve"> замена разбитых стекол-1,0м2</t>
    </r>
  </si>
  <si>
    <r>
      <t>ремонт</t>
    </r>
    <r>
      <rPr>
        <sz val="10"/>
        <rFont val="Arial"/>
        <family val="0"/>
      </rPr>
      <t xml:space="preserve"> просевших отмосток, ремонт оконных рам, дверных полотен </t>
    </r>
    <r>
      <rPr>
        <b/>
        <sz val="10"/>
        <rFont val="Arial"/>
        <family val="2"/>
      </rPr>
      <t>вх. двери п. 5 и</t>
    </r>
    <r>
      <rPr>
        <sz val="10"/>
        <rFont val="Arial"/>
        <family val="0"/>
      </rPr>
      <t xml:space="preserve"> коробок, </t>
    </r>
    <r>
      <rPr>
        <b/>
        <sz val="10"/>
        <rFont val="Arial"/>
        <family val="2"/>
      </rPr>
      <t>лестничных перил-6 п.м.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установка новых- 8п.</t>
    </r>
    <r>
      <rPr>
        <sz val="10"/>
        <rFont val="Arial"/>
        <family val="0"/>
      </rPr>
      <t xml:space="preserve">м. </t>
    </r>
    <r>
      <rPr>
        <b/>
        <sz val="10"/>
        <rFont val="Arial"/>
        <family val="2"/>
      </rPr>
      <t>замена разбитых стекол-2,55м2</t>
    </r>
  </si>
  <si>
    <r>
      <t>протечки в отдельных местах кровли,</t>
    </r>
    <r>
      <rPr>
        <b/>
        <sz val="10"/>
        <rFont val="Arial"/>
        <family val="2"/>
      </rPr>
      <t xml:space="preserve"> </t>
    </r>
  </si>
  <si>
    <r>
      <t>трещины, выбоины на лестничных площадках, ослабление крепления ограждений, поручней и предохранительных сеток, повреждение перил,</t>
    </r>
    <r>
      <rPr>
        <b/>
        <sz val="10"/>
        <rFont val="Arial"/>
        <family val="2"/>
      </rPr>
      <t xml:space="preserve"> п.4 ремонт штробы, под.3-обналичка штроб доской 3пм. и АЦП -05м2, установка п/я.</t>
    </r>
  </si>
  <si>
    <r>
      <t xml:space="preserve">протечки в отдельных местах кровли п.1,ремонт зонтов кровли, </t>
    </r>
    <r>
      <rPr>
        <sz val="10"/>
        <rFont val="Arial"/>
        <family val="0"/>
      </rPr>
      <t>повреждение системы водоотвода</t>
    </r>
  </si>
  <si>
    <r>
      <t>Установка забора</t>
    </r>
    <r>
      <rPr>
        <sz val="10"/>
        <rFont val="Arial"/>
        <family val="0"/>
      </rPr>
      <t xml:space="preserve">,ремонт просевших отмосток, ремонт оконных рам, </t>
    </r>
    <r>
      <rPr>
        <b/>
        <sz val="10"/>
        <rFont val="Arial"/>
        <family val="2"/>
      </rPr>
      <t>утепление вх.двери под.3 (фанера 1,9м2,минвата 2п.м.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>,</t>
    </r>
    <r>
      <rPr>
        <sz val="10"/>
        <rFont val="Arial"/>
        <family val="0"/>
      </rPr>
      <t xml:space="preserve"> полотен и коробок, лестничных перил, фурнитуры, </t>
    </r>
    <r>
      <rPr>
        <b/>
        <sz val="10"/>
        <rFont val="Arial"/>
        <family val="2"/>
      </rPr>
      <t>замена разбитых стекол-1,38м2</t>
    </r>
  </si>
  <si>
    <r>
      <t xml:space="preserve">устранение неисправностей стен, фасадов, кровли, </t>
    </r>
    <r>
      <rPr>
        <b/>
        <sz val="10"/>
        <rFont val="Arial"/>
        <family val="2"/>
      </rPr>
      <t>ремонт козырьков балконных - 3,15 кв.м.,ремонт вентшахт на кровле,</t>
    </r>
    <r>
      <rPr>
        <sz val="10"/>
        <rFont val="Arial"/>
        <family val="0"/>
      </rPr>
      <t xml:space="preserve"> оконных и дверных заполнений</t>
    </r>
  </si>
  <si>
    <r>
      <t>ремонт</t>
    </r>
    <r>
      <rPr>
        <sz val="10"/>
        <rFont val="Arial"/>
        <family val="0"/>
      </rPr>
      <t xml:space="preserve"> просевших отмосток, ремонт оконных рам, </t>
    </r>
    <r>
      <rPr>
        <b/>
        <sz val="10"/>
        <rFont val="Arial"/>
        <family val="2"/>
      </rPr>
      <t>входной двери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>обналичка двери в м/к доска 7п.м</t>
    </r>
    <r>
      <rPr>
        <sz val="10"/>
        <rFont val="Arial"/>
        <family val="0"/>
      </rPr>
      <t>.</t>
    </r>
    <r>
      <rPr>
        <b/>
        <sz val="10"/>
        <rFont val="Arial"/>
        <family val="2"/>
      </rPr>
      <t xml:space="preserve">под.1-установка нового доводчика, </t>
    </r>
    <r>
      <rPr>
        <sz val="10"/>
        <rFont val="Arial"/>
        <family val="0"/>
      </rPr>
      <t>дверных полотен и коробок, лестничных перил, фурнитуры, замена разбитых стекол</t>
    </r>
  </si>
  <si>
    <t>вентиляция: замена ремней д-1320, Д-1060-1шт.,подшипник 168204-2шт.,ремонт вентуст.1,2,3,4</t>
  </si>
  <si>
    <r>
      <t>вентиляция:</t>
    </r>
    <r>
      <rPr>
        <b/>
        <sz val="10"/>
        <rFont val="Arial"/>
        <family val="2"/>
      </rPr>
      <t>замена ремня Д1130-1шт.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>прочистка всех стояков</t>
    </r>
    <r>
      <rPr>
        <sz val="10"/>
        <rFont val="Arial"/>
        <family val="0"/>
      </rPr>
      <t>.</t>
    </r>
  </si>
  <si>
    <r>
      <t>вентиляция:</t>
    </r>
    <r>
      <rPr>
        <b/>
        <sz val="10"/>
        <rFont val="Arial"/>
        <family val="2"/>
      </rPr>
      <t>замена ремней Д-1180-1шт., Д-1120-1шт.</t>
    </r>
  </si>
  <si>
    <r>
      <t xml:space="preserve">вентиляция: </t>
    </r>
    <r>
      <rPr>
        <b/>
        <sz val="10"/>
        <rFont val="Arial"/>
        <family val="2"/>
      </rPr>
      <t>ремонт вентсистмы кв.30</t>
    </r>
  </si>
  <si>
    <r>
      <t xml:space="preserve">вентиляция: </t>
    </r>
    <r>
      <rPr>
        <b/>
        <sz val="10"/>
        <rFont val="Arial"/>
        <family val="2"/>
      </rPr>
      <t>замена ремня Д-1400-3шт.</t>
    </r>
  </si>
  <si>
    <r>
      <t>вентиляция:</t>
    </r>
    <r>
      <rPr>
        <b/>
        <sz val="10"/>
        <rFont val="Arial"/>
        <family val="2"/>
      </rPr>
      <t>замена ремня Д1120-4шт.</t>
    </r>
  </si>
  <si>
    <r>
      <t>вентиляция:</t>
    </r>
    <r>
      <rPr>
        <b/>
        <sz val="10"/>
        <rFont val="Arial"/>
        <family val="2"/>
      </rPr>
      <t>замена ремня Д1180-1шт</t>
    </r>
    <r>
      <rPr>
        <sz val="10"/>
        <rFont val="Arial"/>
        <family val="0"/>
      </rPr>
      <t>., Д-1150-1шт.</t>
    </r>
  </si>
  <si>
    <t xml:space="preserve">  установка нового доводчика-13шт. , ремонт доводчика-8 шт.</t>
  </si>
  <si>
    <t>Ремонт доводчиков-2шт.</t>
  </si>
  <si>
    <r>
      <t xml:space="preserve">деформирование рам оконных и коробки дверных полотен, тамбурные, межэтажные сорванные заполнения дверных полотен, </t>
    </r>
    <r>
      <rPr>
        <b/>
        <sz val="10"/>
        <rFont val="Arial"/>
        <family val="2"/>
      </rPr>
      <t>замена доводчиков-1шт</t>
    </r>
    <r>
      <rPr>
        <sz val="10"/>
        <rFont val="Arial"/>
        <family val="0"/>
      </rPr>
      <t>.</t>
    </r>
  </si>
  <si>
    <r>
      <t xml:space="preserve">ремонт просевших отмосток, </t>
    </r>
    <r>
      <rPr>
        <b/>
        <sz val="10"/>
        <rFont val="Arial"/>
        <family val="2"/>
      </rPr>
      <t>ремонт оконных рам</t>
    </r>
    <r>
      <rPr>
        <sz val="10"/>
        <rFont val="Arial"/>
        <family val="0"/>
      </rPr>
      <t xml:space="preserve">, дверных полотен и коробок, </t>
    </r>
    <r>
      <rPr>
        <b/>
        <sz val="10"/>
        <rFont val="Arial"/>
        <family val="2"/>
      </rPr>
      <t>ремонт доводчиков-1шт.</t>
    </r>
    <r>
      <rPr>
        <sz val="10"/>
        <rFont val="Arial"/>
        <family val="0"/>
      </rPr>
      <t xml:space="preserve">лестничных перил, фурнитуры, </t>
    </r>
    <r>
      <rPr>
        <b/>
        <sz val="10"/>
        <rFont val="Arial"/>
        <family val="2"/>
      </rPr>
      <t>замена разбитых стекол-2,07 м2</t>
    </r>
  </si>
  <si>
    <r>
      <t>деформирование рам оконных и коробки дверных полотен,</t>
    </r>
    <r>
      <rPr>
        <b/>
        <sz val="10"/>
        <rFont val="Arial"/>
        <family val="2"/>
      </rPr>
      <t>ремонт доводчиков-1шт.</t>
    </r>
    <r>
      <rPr>
        <sz val="10"/>
        <rFont val="Arial"/>
        <family val="0"/>
      </rPr>
      <t xml:space="preserve"> тамбурные, межэтажные сорванные заполнения дверных полотен, </t>
    </r>
    <r>
      <rPr>
        <b/>
        <sz val="10"/>
        <rFont val="Arial"/>
        <family val="2"/>
      </rPr>
      <t>установка пружин под.1</t>
    </r>
  </si>
  <si>
    <r>
      <t xml:space="preserve">ремонт </t>
    </r>
    <r>
      <rPr>
        <sz val="10"/>
        <rFont val="Arial"/>
        <family val="0"/>
      </rPr>
      <t xml:space="preserve">просевших отмосток, ремонт оконных рам, </t>
    </r>
    <r>
      <rPr>
        <b/>
        <sz val="10"/>
        <rFont val="Arial"/>
        <family val="2"/>
      </rPr>
      <t>дверных полотен и коробок (жесть 0,45м2., стекло-0,85м2)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>ремонт доводчиков-2шт.</t>
    </r>
    <r>
      <rPr>
        <sz val="10"/>
        <rFont val="Arial"/>
        <family val="0"/>
      </rPr>
      <t xml:space="preserve"> лестничных перил, фурнитуры,</t>
    </r>
    <r>
      <rPr>
        <b/>
        <sz val="10"/>
        <rFont val="Arial"/>
        <family val="2"/>
      </rPr>
      <t xml:space="preserve"> замена разбитых стекол-3,82м2</t>
    </r>
  </si>
  <si>
    <r>
      <t xml:space="preserve">ремонт просевших отмосток, ремонт оконных рам, дверных полотен и коробок, </t>
    </r>
    <r>
      <rPr>
        <b/>
        <sz val="10"/>
        <rFont val="Arial"/>
        <family val="2"/>
      </rPr>
      <t xml:space="preserve">ремонт доводчика-2шт., </t>
    </r>
    <r>
      <rPr>
        <sz val="10"/>
        <rFont val="Arial"/>
        <family val="0"/>
      </rPr>
      <t xml:space="preserve">лестничных перил, фурнитуры, </t>
    </r>
    <r>
      <rPr>
        <b/>
        <sz val="10"/>
        <rFont val="Arial"/>
        <family val="2"/>
      </rPr>
      <t>замена разбитых стекол - 1,05м2.</t>
    </r>
  </si>
  <si>
    <r>
      <t xml:space="preserve">деформирование рам оконных и коробки дверных полотен, тамбурные, межэтажные сорванные заполнения дверных полотен, </t>
    </r>
    <r>
      <rPr>
        <b/>
        <sz val="10"/>
        <rFont val="Arial"/>
        <family val="2"/>
      </rPr>
      <t>установка пружины вх.дв.установка доводчика-1шт.</t>
    </r>
  </si>
  <si>
    <r>
      <t xml:space="preserve">деформирование рам оконных и коробки дверных полотен, </t>
    </r>
    <r>
      <rPr>
        <b/>
        <sz val="10"/>
        <rFont val="Arial"/>
        <family val="2"/>
      </rPr>
      <t>установка доводчика-1шт.</t>
    </r>
    <r>
      <rPr>
        <sz val="10"/>
        <rFont val="Arial"/>
        <family val="0"/>
      </rPr>
      <t>тамбурные, межэтажные сорванные заполнения дверных полотен</t>
    </r>
  </si>
  <si>
    <r>
      <t xml:space="preserve">деформирование рам оконных и коробки дверных полотен, </t>
    </r>
    <r>
      <rPr>
        <b/>
        <sz val="10"/>
        <rFont val="Arial"/>
        <family val="2"/>
      </rPr>
      <t>ремонт доводчика-1шт.</t>
    </r>
    <r>
      <rPr>
        <sz val="10"/>
        <rFont val="Arial"/>
        <family val="0"/>
      </rPr>
      <t>тамбурные, межэтажные сорванные заполнения дверных полотен</t>
    </r>
  </si>
  <si>
    <r>
      <t xml:space="preserve">деформирование рам оконных и коробки дверных полотен, </t>
    </r>
    <r>
      <rPr>
        <b/>
        <sz val="10"/>
        <rFont val="Arial"/>
        <family val="2"/>
      </rPr>
      <t>установка фурнитуры на двери, ремонт доводчиков-2шт.</t>
    </r>
    <r>
      <rPr>
        <sz val="10"/>
        <rFont val="Arial"/>
        <family val="0"/>
      </rPr>
      <t xml:space="preserve"> тамбурные, межэтажные сорванные заполнения дверных полотен</t>
    </r>
  </si>
  <si>
    <t>деформирование рам оконных и коробки дверных полотен,установка доводчиков тамбурные, межэтажные сорванные заполнения дверных полотен</t>
  </si>
  <si>
    <r>
      <t>деформирование рам оконных и коробки дверных полотен, тамбурные, межэтажные сорванные заполнения дверных полотен,</t>
    </r>
    <r>
      <rPr>
        <b/>
        <sz val="10"/>
        <rFont val="Arial"/>
        <family val="2"/>
      </rPr>
      <t>ремонт доводчика-1шт.</t>
    </r>
  </si>
  <si>
    <r>
      <t>вентиляция:</t>
    </r>
    <r>
      <rPr>
        <b/>
        <sz val="10"/>
        <rFont val="Arial"/>
        <family val="2"/>
      </rPr>
      <t>замена ремня Д1120-2шт.</t>
    </r>
  </si>
  <si>
    <r>
      <t>устранение неисправностей стен, фасадов, кровли, перекрытий чердачных и над техническими подвалами, оконных и дверных заполнений:</t>
    </r>
    <r>
      <rPr>
        <b/>
        <sz val="10"/>
        <rFont val="Arial"/>
        <family val="2"/>
      </rPr>
      <t>ремонт балконных примыканий</t>
    </r>
  </si>
  <si>
    <t>установка п/я</t>
  </si>
  <si>
    <r>
      <t>устранение неисправностей стен, фасадов, кровли, перекрытий чердачных и над техническими подвалами, оконных и дверных заполнений;</t>
    </r>
    <r>
      <rPr>
        <b/>
        <sz val="10"/>
        <rFont val="Arial"/>
        <family val="2"/>
      </rPr>
      <t xml:space="preserve"> ремонт балконных примык.2кв.м.</t>
    </r>
  </si>
  <si>
    <r>
      <t xml:space="preserve">ремонт просевших отмосток, </t>
    </r>
    <r>
      <rPr>
        <b/>
        <sz val="10"/>
        <rFont val="Arial"/>
        <family val="2"/>
      </rPr>
      <t>ремонт оконных рам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дверных полотен и коробок--под.2,3, лестничных перил-32п.м.под.4,, установка пружины, замена разбитых стекол-2,04м2, под.5-установка п/я,утепление двери-1,8м2.</t>
    </r>
  </si>
  <si>
    <r>
      <t xml:space="preserve">ремонт просевших отмосток, ремонт оконных рам, </t>
    </r>
    <r>
      <rPr>
        <b/>
        <sz val="10"/>
        <rFont val="Arial"/>
        <family val="2"/>
      </rPr>
      <t>установка дверных пружин под.3,4,6-3шт</t>
    </r>
    <r>
      <rPr>
        <sz val="10"/>
        <rFont val="Arial"/>
        <family val="0"/>
      </rPr>
      <t xml:space="preserve">., установка нов.двери, полотен и коробок, лестничных перил, фурнитуры, </t>
    </r>
    <r>
      <rPr>
        <b/>
        <sz val="10"/>
        <rFont val="Arial"/>
        <family val="2"/>
      </rPr>
      <t>замена разбитых стекол под2,.5-1,97 м2</t>
    </r>
  </si>
  <si>
    <r>
      <t xml:space="preserve">ремонт просевших отмосток, ремонт оконных рам, </t>
    </r>
    <r>
      <rPr>
        <b/>
        <sz val="10"/>
        <rFont val="Arial"/>
        <family val="2"/>
      </rPr>
      <t>дверных полотен и коробок</t>
    </r>
    <r>
      <rPr>
        <sz val="10"/>
        <rFont val="Arial"/>
        <family val="0"/>
      </rPr>
      <t xml:space="preserve">, лестничных перил, фурнитуры, </t>
    </r>
    <r>
      <rPr>
        <b/>
        <sz val="10"/>
        <rFont val="Arial"/>
        <family val="2"/>
      </rPr>
      <t>замена разбитых стекол-под.1,2.- 3,0 м2;фанера 0,4м2.</t>
    </r>
  </si>
  <si>
    <r>
      <t xml:space="preserve">ремонт просевших отмосток, </t>
    </r>
    <r>
      <rPr>
        <b/>
        <sz val="10"/>
        <rFont val="Arial"/>
        <family val="2"/>
      </rPr>
      <t>ремонт оконных рам п.1,2.,</t>
    </r>
    <r>
      <rPr>
        <sz val="10"/>
        <rFont val="Arial"/>
        <family val="0"/>
      </rPr>
      <t xml:space="preserve"> дверных полотен и коробок,</t>
    </r>
    <r>
      <rPr>
        <b/>
        <sz val="10"/>
        <rFont val="Arial"/>
        <family val="2"/>
      </rPr>
      <t>ремонт доводчика-1шт.,</t>
    </r>
    <r>
      <rPr>
        <sz val="10"/>
        <rFont val="Arial"/>
        <family val="0"/>
      </rPr>
      <t xml:space="preserve"> лестничных перил, фурнитуры, </t>
    </r>
    <r>
      <rPr>
        <b/>
        <sz val="10"/>
        <rFont val="Arial"/>
        <family val="2"/>
      </rPr>
      <t>замена разбитых стекол-4,5м2</t>
    </r>
  </si>
  <si>
    <r>
      <t xml:space="preserve">ремонт просевших отмосток, ремонт оконных рам, дверных полотен и коробок,  </t>
    </r>
    <r>
      <rPr>
        <b/>
        <sz val="10"/>
        <rFont val="Arial"/>
        <family val="2"/>
      </rPr>
      <t xml:space="preserve">перил на крыльце, </t>
    </r>
    <r>
      <rPr>
        <sz val="10"/>
        <rFont val="Arial"/>
        <family val="0"/>
      </rPr>
      <t xml:space="preserve">фурнитуры, </t>
    </r>
    <r>
      <rPr>
        <b/>
        <sz val="10"/>
        <rFont val="Arial"/>
        <family val="2"/>
      </rPr>
      <t>замена разбитых стекол-0,64м2</t>
    </r>
  </si>
  <si>
    <r>
      <t>ремонт просевших отмосток,</t>
    </r>
    <r>
      <rPr>
        <b/>
        <sz val="10"/>
        <rFont val="Arial"/>
        <family val="2"/>
      </rPr>
      <t>ремонт крыльца под1,2</t>
    </r>
    <r>
      <rPr>
        <sz val="10"/>
        <rFont val="Arial"/>
        <family val="0"/>
      </rPr>
      <t xml:space="preserve">, ремонт оконных рам, </t>
    </r>
    <r>
      <rPr>
        <b/>
        <sz val="10"/>
        <rFont val="Arial"/>
        <family val="2"/>
      </rPr>
      <t>ремонт двери под.2,5,7,установка нового доводчика-4шт.,</t>
    </r>
    <r>
      <rPr>
        <sz val="10"/>
        <rFont val="Arial"/>
        <family val="0"/>
      </rPr>
      <t xml:space="preserve"> полотен и коробок, лестничных перил, </t>
    </r>
    <r>
      <rPr>
        <b/>
        <sz val="10"/>
        <rFont val="Arial"/>
        <family val="2"/>
      </rPr>
      <t>,</t>
    </r>
    <r>
      <rPr>
        <sz val="10"/>
        <rFont val="Arial"/>
        <family val="0"/>
      </rPr>
      <t>фурнитуры, замена разбитых стекол</t>
    </r>
  </si>
  <si>
    <r>
      <t>Установка забора,  ремонт</t>
    </r>
    <r>
      <rPr>
        <sz val="10"/>
        <rFont val="Arial"/>
        <family val="0"/>
      </rPr>
      <t xml:space="preserve"> просевших отмосток, ремонт оконных рам, </t>
    </r>
    <r>
      <rPr>
        <b/>
        <sz val="10"/>
        <rFont val="Arial"/>
        <family val="2"/>
      </rPr>
      <t>входной двери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 xml:space="preserve">под.1-установка нового доводчика, </t>
    </r>
    <r>
      <rPr>
        <sz val="10"/>
        <rFont val="Arial"/>
        <family val="0"/>
      </rPr>
      <t>дверных полотен и коробок, лестничных перил, фурнитуры, замена разбитых стекол,</t>
    </r>
    <r>
      <rPr>
        <b/>
        <sz val="10"/>
        <rFont val="Arial"/>
        <family val="2"/>
      </rPr>
      <t>ремонт штроб</t>
    </r>
  </si>
  <si>
    <r>
      <t xml:space="preserve">ремонт просевших отмосток, </t>
    </r>
    <r>
      <rPr>
        <b/>
        <sz val="10"/>
        <rFont val="Arial"/>
        <family val="2"/>
      </rPr>
      <t>ремонт оконных рам 9шт.,,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дверных полотен и коробок -под.5,4</t>
    </r>
    <r>
      <rPr>
        <sz val="10"/>
        <rFont val="Arial"/>
        <family val="0"/>
      </rPr>
      <t>, лестничных перил, фурнитуры, замена разбитых стекол</t>
    </r>
  </si>
  <si>
    <t>Техническое обслуживание, осмотры и ремонт инженерного оборудования, в том числе:</t>
  </si>
  <si>
    <t xml:space="preserve">Аварийное обслуживание: </t>
  </si>
  <si>
    <t>обслуживание заявок по инженерным системам холодного, горячего водоснабжения, теплоснабжения, водоотведения, электрооборудования</t>
  </si>
  <si>
    <t>Лифт</t>
  </si>
  <si>
    <t xml:space="preserve">неисправности лифта </t>
  </si>
  <si>
    <t>Итого услуги  организации</t>
  </si>
  <si>
    <t>Адрес:</t>
  </si>
  <si>
    <t>S Жфонда</t>
  </si>
  <si>
    <t>S газон</t>
  </si>
  <si>
    <t>S асф</t>
  </si>
  <si>
    <t>S лестниц</t>
  </si>
  <si>
    <t>Подъезды</t>
  </si>
  <si>
    <t>Квартиры</t>
  </si>
  <si>
    <t>Этажи</t>
  </si>
  <si>
    <t>Ленина 17</t>
  </si>
  <si>
    <t>Ленина 15</t>
  </si>
  <si>
    <t>Ленина 13</t>
  </si>
  <si>
    <t>Ленина 11</t>
  </si>
  <si>
    <t>Ленина 9</t>
  </si>
  <si>
    <t>Ленина 5</t>
  </si>
  <si>
    <t>Ленина 3</t>
  </si>
  <si>
    <t>Ленина 1</t>
  </si>
  <si>
    <t>Горняков 8</t>
  </si>
  <si>
    <t>Горняков 6</t>
  </si>
  <si>
    <t>Горняков 4</t>
  </si>
  <si>
    <t>Антикайнена 31</t>
  </si>
  <si>
    <t>Антикайнена 29</t>
  </si>
  <si>
    <t>Антикайнена 27</t>
  </si>
  <si>
    <t>Антикайнена 25</t>
  </si>
  <si>
    <t>Антикайнена 19</t>
  </si>
  <si>
    <t>Антикайнена 11</t>
  </si>
  <si>
    <t>Антикайнена 7</t>
  </si>
  <si>
    <t>Антикайнена 5</t>
  </si>
  <si>
    <t>Действующий тариф</t>
  </si>
  <si>
    <t>Расчетный тариф</t>
  </si>
  <si>
    <t>лифт</t>
  </si>
  <si>
    <t>Адрес</t>
  </si>
  <si>
    <t>Площадь не жилых помещений</t>
  </si>
  <si>
    <t xml:space="preserve">в т.ч.лифт </t>
  </si>
  <si>
    <t>Итого</t>
  </si>
  <si>
    <t>% увел тарифа</t>
  </si>
  <si>
    <t>Содержа   ние, всего руб.</t>
  </si>
  <si>
    <t>в т.ч. сод.и ТО</t>
  </si>
  <si>
    <t>в т.ч. сод. и ТО</t>
  </si>
  <si>
    <t>в т.ч .  мусор</t>
  </si>
  <si>
    <t xml:space="preserve">в т.ч.   лифт </t>
  </si>
  <si>
    <t>в т.ч.му  сор</t>
  </si>
  <si>
    <t>Средний тариф</t>
  </si>
  <si>
    <t xml:space="preserve">                     жилищного фонда по Управляющей организации ООО "Жилремстрой"</t>
  </si>
  <si>
    <t>Директор ООО "Жилремстрой"                                        Н.Н. Ласица</t>
  </si>
  <si>
    <t>Площадь м2</t>
  </si>
  <si>
    <t>на 2009 - 2010 год</t>
  </si>
  <si>
    <t>Сравнительная таблица действующих и расчетных тарифов на  содержание, обслуживание и текущий ремонт</t>
  </si>
  <si>
    <t>Стоимость услуги.все   го, руб.</t>
  </si>
  <si>
    <t>% увел.  доли сод.и ТО</t>
  </si>
  <si>
    <t>Материалы</t>
  </si>
  <si>
    <t>ГСМ</t>
  </si>
  <si>
    <t xml:space="preserve">Цеховые расходы  организации </t>
  </si>
  <si>
    <t xml:space="preserve">Общеэксплуатационные расходы  организации </t>
  </si>
  <si>
    <t>Дополнительный доход от стор.организ.</t>
  </si>
  <si>
    <t>Мира 15</t>
  </si>
  <si>
    <t>Мира 17</t>
  </si>
  <si>
    <t>Мира 19</t>
  </si>
  <si>
    <t>Советская 2</t>
  </si>
  <si>
    <t>Советская 4</t>
  </si>
  <si>
    <t>Советская 11</t>
  </si>
  <si>
    <t>Вентуст.</t>
  </si>
  <si>
    <t>ИТОГО,руб.</t>
  </si>
  <si>
    <t>уборка газона, очистка от мусора и мелкий ремонт детск. площ.</t>
  </si>
  <si>
    <t>вывоз крупногабаритного мусора (услуги МСА)</t>
  </si>
  <si>
    <t>ремонт, регулировка, испытание, расконсервация систем центрального отопления</t>
  </si>
  <si>
    <t>проверка крепления загрузочных клапанов мусоропроводов</t>
  </si>
  <si>
    <t>Услуги ДС</t>
  </si>
  <si>
    <t>Итого затрат:</t>
  </si>
  <si>
    <t>Всего услуги организации</t>
  </si>
  <si>
    <t>Услуги по управлению жилфондом (РКЦ-2,4%)</t>
  </si>
  <si>
    <t>Услуги паспортной службы 0,21 руб/м2 м-ц</t>
  </si>
  <si>
    <t>1. Расчет затрат на содержание и обслуживание общего имущества МКД</t>
  </si>
  <si>
    <t>Наименование работ и услуг</t>
  </si>
  <si>
    <t>Затраты на год, руб.</t>
  </si>
  <si>
    <t>Затраты на месяц, руб.</t>
  </si>
  <si>
    <t xml:space="preserve">Затраты на 1 кв.м.в            м-ц,руб. </t>
  </si>
  <si>
    <t>Площадь 15678,1кв.м.</t>
  </si>
  <si>
    <t>Ремонт и обслуживание  общего имущества МКД, всего</t>
  </si>
  <si>
    <t xml:space="preserve">в т.ч. </t>
  </si>
  <si>
    <t>Оплата труда рабочих, выполняющих ремонт и обслуживание  общего имущества МКД (строит. конструкции, подготовка к зиме, инж оборуд.)</t>
  </si>
  <si>
    <t>ЕСН</t>
  </si>
  <si>
    <t>Охрана труда</t>
  </si>
  <si>
    <t>Прочие прямые расходы по ремонту и обслуживанию  внутридомового  инженерного оборудования (Обслуживание вентустановок, 33шт)</t>
  </si>
  <si>
    <t xml:space="preserve">Благоустройство и обеспечение санитарного состояния  жилых зданий  </t>
  </si>
  <si>
    <t>Оплата труда рабочих, занятых  на   уборке общего имущества многоквартирного дома, из них:</t>
  </si>
  <si>
    <t xml:space="preserve">   * уборка помещений общего       пользования</t>
  </si>
  <si>
    <t xml:space="preserve">   *уборка придомовой территории</t>
  </si>
  <si>
    <t xml:space="preserve">   *уборка мусоропровода</t>
  </si>
  <si>
    <t>ЕСН, из них:</t>
  </si>
  <si>
    <t>на уборку ПОП</t>
  </si>
  <si>
    <t>на уборку ПТ</t>
  </si>
  <si>
    <t>на уборку мусоропровода</t>
  </si>
  <si>
    <t>Вода для мытья ПОП</t>
  </si>
  <si>
    <t>Цеховой персонал РСиС</t>
  </si>
  <si>
    <t>Оплата труда РСиС</t>
  </si>
  <si>
    <t>Охрана труда РСиС</t>
  </si>
  <si>
    <t>Услуги сторонних организаций, в т.ч.</t>
  </si>
  <si>
    <t>Техобслуживание лифтов (Космос)</t>
  </si>
  <si>
    <t>Услуги ТИЦ</t>
  </si>
  <si>
    <t>Вывоз мусора и ПТБО</t>
  </si>
  <si>
    <t>Вывоз к/г мусора</t>
  </si>
  <si>
    <t>Дератизация, дезинсекция</t>
  </si>
  <si>
    <t>ИТОГО прямых затрат</t>
  </si>
  <si>
    <t>ИТОГО себестоимость</t>
  </si>
  <si>
    <t xml:space="preserve">Итого тариф на ТО и содержание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</si>
</sst>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"/>
    <numFmt numFmtId="186" formatCode="0.00000000"/>
    <numFmt numFmtId="187" formatCode="0.000000000"/>
    <numFmt numFmtId="188" formatCode="_(* #,##0.0_);_(* \(#,##0.0\);_(* &quot;-&quot;??_);_(@_)"/>
    <numFmt numFmtId="189" formatCode="_-* #,##0.0000_р_._-;\-* #,##0.0000_р_._-;_-* &quot;-&quot;????_р_._-;_-@_-"/>
    <numFmt numFmtId="190" formatCode="_-* #,##0.00000_р_._-;\-* #,##0.00000_р_._-;_-* &quot;-&quot;????_р_._-;_-@_-"/>
    <numFmt numFmtId="191" formatCode="_-* #,##0.000_р_._-;\-* #,##0.000_р_._-;_-* &quot;-&quot;????_р_._-;_-@_-"/>
    <numFmt numFmtId="192" formatCode="_-* #,##0.000_р_._-;\-* #,##0.000_р_._-;_-* &quot;-&quot;???_р_._-;_-@_-"/>
    <numFmt numFmtId="193" formatCode="_-* #,##0.00_р_._-;\-* #,##0.00_р_._-;_-* &quot;-&quot;????_р_.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wrapText="1"/>
    </xf>
    <xf numFmtId="9" fontId="0" fillId="0" borderId="1" xfId="17" applyBorder="1" applyAlignment="1">
      <alignment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9" fontId="0" fillId="2" borderId="4" xfId="17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2" fontId="0" fillId="0" borderId="5" xfId="0" applyNumberFormat="1" applyBorder="1" applyAlignment="1">
      <alignment/>
    </xf>
    <xf numFmtId="9" fontId="0" fillId="2" borderId="6" xfId="17" applyFill="1" applyBorder="1" applyAlignment="1">
      <alignment/>
    </xf>
    <xf numFmtId="9" fontId="0" fillId="0" borderId="5" xfId="17" applyBorder="1" applyAlignment="1">
      <alignment/>
    </xf>
    <xf numFmtId="2" fontId="1" fillId="2" borderId="1" xfId="0" applyNumberFormat="1" applyFont="1" applyFill="1" applyBorder="1" applyAlignment="1">
      <alignment/>
    </xf>
    <xf numFmtId="9" fontId="1" fillId="2" borderId="1" xfId="17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" xfId="0" applyNumberFormat="1" applyBorder="1" applyAlignment="1">
      <alignment wrapText="1"/>
    </xf>
    <xf numFmtId="180" fontId="0" fillId="0" borderId="1" xfId="0" applyNumberFormat="1" applyBorder="1" applyAlignment="1">
      <alignment/>
    </xf>
    <xf numFmtId="180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81" fontId="0" fillId="0" borderId="1" xfId="0" applyNumberFormat="1" applyBorder="1" applyAlignment="1">
      <alignment/>
    </xf>
    <xf numFmtId="181" fontId="1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181" fontId="0" fillId="0" borderId="1" xfId="0" applyNumberFormat="1" applyFill="1" applyBorder="1" applyAlignment="1">
      <alignment/>
    </xf>
    <xf numFmtId="181" fontId="1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1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6" sqref="A6:B31"/>
    </sheetView>
  </sheetViews>
  <sheetFormatPr defaultColWidth="9.140625" defaultRowHeight="12.75"/>
  <cols>
    <col min="1" max="1" width="14.7109375" style="0" customWidth="1"/>
    <col min="2" max="2" width="9.00390625" style="0" customWidth="1"/>
    <col min="3" max="3" width="7.57421875" style="0" customWidth="1"/>
    <col min="4" max="4" width="8.7109375" style="0" customWidth="1"/>
    <col min="5" max="5" width="8.140625" style="0" customWidth="1"/>
    <col min="6" max="6" width="7.140625" style="0" customWidth="1"/>
    <col min="7" max="7" width="8.7109375" style="0" customWidth="1"/>
    <col min="8" max="8" width="11.57421875" style="0" customWidth="1"/>
    <col min="9" max="9" width="8.8515625" style="0" customWidth="1"/>
    <col min="10" max="10" width="7.7109375" style="0" customWidth="1"/>
    <col min="11" max="11" width="8.8515625" style="0" customWidth="1"/>
    <col min="12" max="12" width="9.28125" style="0" customWidth="1"/>
    <col min="13" max="13" width="8.00390625" style="0" customWidth="1"/>
    <col min="14" max="14" width="8.7109375" style="0" customWidth="1"/>
    <col min="15" max="15" width="11.8515625" style="0" customWidth="1"/>
  </cols>
  <sheetData>
    <row r="2" spans="2:12" ht="12.75">
      <c r="B2" s="5" t="s">
        <v>533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2.75">
      <c r="B3" s="5" t="s">
        <v>529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ht="12.75">
      <c r="F4" s="5" t="s">
        <v>532</v>
      </c>
    </row>
    <row r="5" ht="12.75">
      <c r="F5" s="5"/>
    </row>
    <row r="6" spans="1:15" ht="12.75">
      <c r="A6" s="58" t="s">
        <v>517</v>
      </c>
      <c r="B6" s="58" t="s">
        <v>531</v>
      </c>
      <c r="C6" s="61" t="s">
        <v>518</v>
      </c>
      <c r="D6" s="67" t="s">
        <v>514</v>
      </c>
      <c r="E6" s="68"/>
      <c r="F6" s="68"/>
      <c r="G6" s="68"/>
      <c r="H6" s="69"/>
      <c r="I6" s="67" t="s">
        <v>515</v>
      </c>
      <c r="J6" s="68"/>
      <c r="K6" s="68"/>
      <c r="L6" s="69"/>
      <c r="M6" s="71" t="s">
        <v>521</v>
      </c>
      <c r="N6" s="70" t="s">
        <v>535</v>
      </c>
      <c r="O6" s="70" t="s">
        <v>534</v>
      </c>
    </row>
    <row r="7" spans="1:15" ht="12.75">
      <c r="A7" s="59"/>
      <c r="B7" s="59"/>
      <c r="C7" s="62"/>
      <c r="D7" s="64" t="s">
        <v>522</v>
      </c>
      <c r="E7" s="58" t="s">
        <v>525</v>
      </c>
      <c r="F7" s="58" t="s">
        <v>526</v>
      </c>
      <c r="G7" s="58" t="s">
        <v>523</v>
      </c>
      <c r="H7" s="58" t="s">
        <v>534</v>
      </c>
      <c r="I7" s="64" t="s">
        <v>522</v>
      </c>
      <c r="J7" s="58" t="s">
        <v>527</v>
      </c>
      <c r="K7" s="58" t="s">
        <v>519</v>
      </c>
      <c r="L7" s="58" t="s">
        <v>524</v>
      </c>
      <c r="M7" s="72"/>
      <c r="N7" s="70"/>
      <c r="O7" s="70"/>
    </row>
    <row r="8" spans="1:15" ht="12.75">
      <c r="A8" s="59"/>
      <c r="B8" s="59"/>
      <c r="C8" s="62"/>
      <c r="D8" s="65"/>
      <c r="E8" s="59"/>
      <c r="F8" s="59"/>
      <c r="G8" s="59"/>
      <c r="H8" s="59"/>
      <c r="I8" s="65"/>
      <c r="J8" s="59"/>
      <c r="K8" s="59"/>
      <c r="L8" s="59"/>
      <c r="M8" s="72"/>
      <c r="N8" s="70"/>
      <c r="O8" s="70"/>
    </row>
    <row r="9" spans="1:15" ht="12.75">
      <c r="A9" s="60"/>
      <c r="B9" s="60"/>
      <c r="C9" s="63"/>
      <c r="D9" s="66"/>
      <c r="E9" s="60"/>
      <c r="F9" s="60"/>
      <c r="G9" s="60"/>
      <c r="H9" s="60"/>
      <c r="I9" s="66"/>
      <c r="J9" s="60"/>
      <c r="K9" s="60"/>
      <c r="L9" s="60"/>
      <c r="M9" s="73"/>
      <c r="N9" s="70"/>
      <c r="O9" s="70"/>
    </row>
    <row r="10" spans="1:15" ht="12.75">
      <c r="A10" s="8"/>
      <c r="B10" s="8"/>
      <c r="C10" s="8"/>
      <c r="D10" s="11"/>
      <c r="E10" s="8"/>
      <c r="F10" s="8"/>
      <c r="G10" s="8"/>
      <c r="H10" s="8"/>
      <c r="I10" s="11"/>
      <c r="J10" s="8"/>
      <c r="K10" s="8"/>
      <c r="L10" s="8"/>
      <c r="M10" s="10"/>
      <c r="N10" s="3"/>
      <c r="O10" s="1"/>
    </row>
    <row r="11" spans="1:15" ht="12.75">
      <c r="A11" s="1" t="s">
        <v>513</v>
      </c>
      <c r="B11" s="1">
        <v>5470</v>
      </c>
      <c r="C11" s="1"/>
      <c r="D11" s="12">
        <v>13.05</v>
      </c>
      <c r="E11" s="1">
        <v>2.26</v>
      </c>
      <c r="F11" s="1"/>
      <c r="G11" s="1">
        <f>D11-E11-F11</f>
        <v>10.790000000000001</v>
      </c>
      <c r="H11" s="1">
        <f>B11*D11*12</f>
        <v>856602</v>
      </c>
      <c r="I11" s="12">
        <v>13.16</v>
      </c>
      <c r="J11" s="1">
        <v>3.1</v>
      </c>
      <c r="K11" s="1"/>
      <c r="L11" s="1">
        <f>I11-J11-K11</f>
        <v>10.06</v>
      </c>
      <c r="M11" s="14">
        <f aca="true" t="shared" si="0" ref="M11:M29">I11/D11</f>
        <v>1.0084291187739463</v>
      </c>
      <c r="N11" s="9">
        <f aca="true" t="shared" si="1" ref="N11:N29">L11/G11</f>
        <v>0.9323447636700648</v>
      </c>
      <c r="O11" s="1">
        <f aca="true" t="shared" si="2" ref="O11:O29">I11*B11*12</f>
        <v>863822.3999999999</v>
      </c>
    </row>
    <row r="12" spans="1:20" ht="12.75">
      <c r="A12" s="1" t="s">
        <v>512</v>
      </c>
      <c r="B12" s="1">
        <v>5452.66</v>
      </c>
      <c r="C12" s="1"/>
      <c r="D12" s="12">
        <v>13.41</v>
      </c>
      <c r="E12" s="1">
        <v>2.26</v>
      </c>
      <c r="F12" s="1"/>
      <c r="G12" s="1">
        <f aca="true" t="shared" si="3" ref="G12:G29">D12-E12-F12</f>
        <v>11.15</v>
      </c>
      <c r="H12" s="7">
        <f aca="true" t="shared" si="4" ref="H12:H29">B12*D12*12</f>
        <v>877442.0471999999</v>
      </c>
      <c r="I12" s="12">
        <v>14.05</v>
      </c>
      <c r="J12" s="1">
        <v>3.1</v>
      </c>
      <c r="K12" s="1"/>
      <c r="L12" s="1">
        <f aca="true" t="shared" si="5" ref="L12:L29">I12-J12-K12</f>
        <v>10.950000000000001</v>
      </c>
      <c r="M12" s="14">
        <f t="shared" si="0"/>
        <v>1.0477255779269203</v>
      </c>
      <c r="N12" s="9">
        <f t="shared" si="1"/>
        <v>0.9820627802690584</v>
      </c>
      <c r="O12" s="7">
        <f t="shared" si="2"/>
        <v>919318.476</v>
      </c>
      <c r="T12" s="23"/>
    </row>
    <row r="13" spans="1:15" ht="12.75">
      <c r="A13" s="1" t="s">
        <v>511</v>
      </c>
      <c r="B13" s="1">
        <v>3098.6</v>
      </c>
      <c r="C13" s="1"/>
      <c r="D13" s="12">
        <v>14.61</v>
      </c>
      <c r="E13" s="1">
        <v>2.26</v>
      </c>
      <c r="F13" s="1"/>
      <c r="G13" s="1">
        <f t="shared" si="3"/>
        <v>12.35</v>
      </c>
      <c r="H13" s="7">
        <f t="shared" si="4"/>
        <v>543246.5519999999</v>
      </c>
      <c r="I13" s="12">
        <v>15.05</v>
      </c>
      <c r="J13" s="1">
        <v>3.1</v>
      </c>
      <c r="K13" s="1"/>
      <c r="L13" s="1">
        <f t="shared" si="5"/>
        <v>11.950000000000001</v>
      </c>
      <c r="M13" s="14">
        <f t="shared" si="0"/>
        <v>1.0301163586584532</v>
      </c>
      <c r="N13" s="9">
        <f t="shared" si="1"/>
        <v>0.9676113360323888</v>
      </c>
      <c r="O13" s="7">
        <f t="shared" si="2"/>
        <v>559607.16</v>
      </c>
    </row>
    <row r="14" spans="1:15" ht="12.75">
      <c r="A14" s="1" t="s">
        <v>510</v>
      </c>
      <c r="B14" s="1">
        <v>4025.3</v>
      </c>
      <c r="C14" s="1"/>
      <c r="D14" s="12">
        <v>18.29</v>
      </c>
      <c r="E14" s="1">
        <v>2.16</v>
      </c>
      <c r="F14" s="1">
        <v>3.43</v>
      </c>
      <c r="G14" s="1">
        <f t="shared" si="3"/>
        <v>12.7</v>
      </c>
      <c r="H14" s="7">
        <f t="shared" si="4"/>
        <v>883472.8439999999</v>
      </c>
      <c r="I14" s="12">
        <v>20.7</v>
      </c>
      <c r="J14" s="1">
        <v>3.02</v>
      </c>
      <c r="K14" s="1">
        <v>3.52</v>
      </c>
      <c r="L14" s="1">
        <f t="shared" si="5"/>
        <v>14.16</v>
      </c>
      <c r="M14" s="14">
        <f t="shared" si="0"/>
        <v>1.131765992345544</v>
      </c>
      <c r="N14" s="9">
        <f t="shared" si="1"/>
        <v>1.11496062992126</v>
      </c>
      <c r="O14" s="7">
        <f t="shared" si="2"/>
        <v>999884.52</v>
      </c>
    </row>
    <row r="15" spans="1:15" ht="12.75">
      <c r="A15" s="1" t="s">
        <v>509</v>
      </c>
      <c r="B15" s="1">
        <v>3128.1</v>
      </c>
      <c r="C15" s="1"/>
      <c r="D15" s="12">
        <v>13.48</v>
      </c>
      <c r="E15" s="1">
        <v>2.26</v>
      </c>
      <c r="F15" s="1"/>
      <c r="G15" s="1">
        <f t="shared" si="3"/>
        <v>11.22</v>
      </c>
      <c r="H15" s="7">
        <f t="shared" si="4"/>
        <v>506001.456</v>
      </c>
      <c r="I15" s="12">
        <v>14.31</v>
      </c>
      <c r="J15" s="1">
        <v>3.1</v>
      </c>
      <c r="K15" s="1"/>
      <c r="L15" s="1">
        <f t="shared" si="5"/>
        <v>11.21</v>
      </c>
      <c r="M15" s="14">
        <f t="shared" si="0"/>
        <v>1.061572700296736</v>
      </c>
      <c r="N15" s="9">
        <f t="shared" si="1"/>
        <v>0.9991087344028521</v>
      </c>
      <c r="O15" s="7">
        <f t="shared" si="2"/>
        <v>537157.3319999999</v>
      </c>
    </row>
    <row r="16" spans="1:15" ht="12.75">
      <c r="A16" s="1" t="s">
        <v>508</v>
      </c>
      <c r="B16" s="1">
        <v>3033.9</v>
      </c>
      <c r="C16" s="1">
        <v>53.6</v>
      </c>
      <c r="D16" s="12">
        <v>13.37</v>
      </c>
      <c r="E16" s="1">
        <v>2.26</v>
      </c>
      <c r="F16" s="1"/>
      <c r="G16" s="1">
        <f t="shared" si="3"/>
        <v>11.11</v>
      </c>
      <c r="H16" s="7">
        <f t="shared" si="4"/>
        <v>486758.916</v>
      </c>
      <c r="I16" s="12">
        <v>14.33</v>
      </c>
      <c r="J16" s="1">
        <v>3.1</v>
      </c>
      <c r="K16" s="1"/>
      <c r="L16" s="1">
        <f t="shared" si="5"/>
        <v>11.23</v>
      </c>
      <c r="M16" s="14">
        <f t="shared" si="0"/>
        <v>1.0718025430067315</v>
      </c>
      <c r="N16" s="9">
        <f t="shared" si="1"/>
        <v>1.010801080108011</v>
      </c>
      <c r="O16" s="7">
        <f t="shared" si="2"/>
        <v>521709.444</v>
      </c>
    </row>
    <row r="17" spans="1:15" ht="12.75">
      <c r="A17" s="1" t="s">
        <v>507</v>
      </c>
      <c r="B17" s="1">
        <v>6405.7</v>
      </c>
      <c r="C17" s="1"/>
      <c r="D17" s="12">
        <v>13.51</v>
      </c>
      <c r="E17" s="1">
        <v>2.26</v>
      </c>
      <c r="F17" s="1"/>
      <c r="G17" s="1">
        <f t="shared" si="3"/>
        <v>11.25</v>
      </c>
      <c r="H17" s="7">
        <f t="shared" si="4"/>
        <v>1038492.084</v>
      </c>
      <c r="I17" s="12">
        <v>14.68</v>
      </c>
      <c r="J17" s="1">
        <v>3.1</v>
      </c>
      <c r="K17" s="1"/>
      <c r="L17" s="1">
        <f t="shared" si="5"/>
        <v>11.58</v>
      </c>
      <c r="M17" s="14">
        <f t="shared" si="0"/>
        <v>1.08660251665433</v>
      </c>
      <c r="N17" s="9">
        <f t="shared" si="1"/>
        <v>1.0293333333333334</v>
      </c>
      <c r="O17" s="7">
        <f t="shared" si="2"/>
        <v>1128428.112</v>
      </c>
    </row>
    <row r="18" spans="1:15" ht="12.75">
      <c r="A18" s="1" t="s">
        <v>506</v>
      </c>
      <c r="B18" s="1">
        <v>6412.5</v>
      </c>
      <c r="C18" s="1"/>
      <c r="D18" s="12">
        <v>13</v>
      </c>
      <c r="E18" s="1">
        <v>2.26</v>
      </c>
      <c r="F18" s="1"/>
      <c r="G18" s="1">
        <f t="shared" si="3"/>
        <v>10.74</v>
      </c>
      <c r="H18" s="7">
        <f t="shared" si="4"/>
        <v>1000350</v>
      </c>
      <c r="I18" s="12">
        <v>14.1</v>
      </c>
      <c r="J18" s="1">
        <v>3.1</v>
      </c>
      <c r="K18" s="1"/>
      <c r="L18" s="1">
        <f t="shared" si="5"/>
        <v>11</v>
      </c>
      <c r="M18" s="14">
        <f t="shared" si="0"/>
        <v>1.0846153846153845</v>
      </c>
      <c r="N18" s="9">
        <f t="shared" si="1"/>
        <v>1.0242085661080074</v>
      </c>
      <c r="O18" s="7">
        <f t="shared" si="2"/>
        <v>1084995</v>
      </c>
    </row>
    <row r="19" spans="1:15" ht="12.75">
      <c r="A19" s="1" t="s">
        <v>505</v>
      </c>
      <c r="B19" s="1">
        <v>4727</v>
      </c>
      <c r="C19" s="1"/>
      <c r="D19" s="12">
        <v>13.2</v>
      </c>
      <c r="E19" s="1">
        <v>2.26</v>
      </c>
      <c r="F19" s="1"/>
      <c r="G19" s="1">
        <f t="shared" si="3"/>
        <v>10.94</v>
      </c>
      <c r="H19" s="7">
        <f t="shared" si="4"/>
        <v>748756.7999999999</v>
      </c>
      <c r="I19" s="12">
        <v>14.67</v>
      </c>
      <c r="J19" s="1">
        <v>3.1</v>
      </c>
      <c r="K19" s="1"/>
      <c r="L19" s="1">
        <f t="shared" si="5"/>
        <v>11.57</v>
      </c>
      <c r="M19" s="14">
        <f t="shared" si="0"/>
        <v>1.1113636363636363</v>
      </c>
      <c r="N19" s="9">
        <f t="shared" si="1"/>
        <v>1.057586837294333</v>
      </c>
      <c r="O19" s="7">
        <f t="shared" si="2"/>
        <v>832141.08</v>
      </c>
    </row>
    <row r="20" spans="1:15" ht="12.75">
      <c r="A20" s="1" t="s">
        <v>504</v>
      </c>
      <c r="B20" s="1">
        <v>6522</v>
      </c>
      <c r="C20" s="1"/>
      <c r="D20" s="12">
        <v>13.29</v>
      </c>
      <c r="E20" s="1">
        <v>2.26</v>
      </c>
      <c r="F20" s="1"/>
      <c r="G20" s="1">
        <f t="shared" si="3"/>
        <v>11.03</v>
      </c>
      <c r="H20" s="7">
        <f t="shared" si="4"/>
        <v>1040128.5599999998</v>
      </c>
      <c r="I20" s="12">
        <v>14.49</v>
      </c>
      <c r="J20" s="1">
        <v>3.1</v>
      </c>
      <c r="K20" s="1"/>
      <c r="L20" s="1">
        <f t="shared" si="5"/>
        <v>11.39</v>
      </c>
      <c r="M20" s="14">
        <f t="shared" si="0"/>
        <v>1.090293453724605</v>
      </c>
      <c r="N20" s="9">
        <f t="shared" si="1"/>
        <v>1.0326382592928378</v>
      </c>
      <c r="O20" s="7">
        <f t="shared" si="2"/>
        <v>1134045.3599999999</v>
      </c>
    </row>
    <row r="21" spans="1:15" ht="12.75">
      <c r="A21" s="1" t="s">
        <v>503</v>
      </c>
      <c r="B21" s="1">
        <v>4747.4</v>
      </c>
      <c r="C21" s="1"/>
      <c r="D21" s="12">
        <v>13.07</v>
      </c>
      <c r="E21" s="1">
        <v>2.26</v>
      </c>
      <c r="F21" s="1"/>
      <c r="G21" s="1">
        <f t="shared" si="3"/>
        <v>10.81</v>
      </c>
      <c r="H21" s="7">
        <f t="shared" si="4"/>
        <v>744582.216</v>
      </c>
      <c r="I21" s="12">
        <v>14.58</v>
      </c>
      <c r="J21" s="1">
        <v>3.1</v>
      </c>
      <c r="K21" s="1"/>
      <c r="L21" s="1">
        <f t="shared" si="5"/>
        <v>11.48</v>
      </c>
      <c r="M21" s="14">
        <f t="shared" si="0"/>
        <v>1.115531752104055</v>
      </c>
      <c r="N21" s="9">
        <f t="shared" si="1"/>
        <v>1.0619796484736355</v>
      </c>
      <c r="O21" s="7">
        <f t="shared" si="2"/>
        <v>830605.1039999998</v>
      </c>
    </row>
    <row r="22" spans="1:15" ht="12.75">
      <c r="A22" s="1" t="s">
        <v>502</v>
      </c>
      <c r="B22" s="1">
        <v>4024.9</v>
      </c>
      <c r="C22" s="1"/>
      <c r="D22" s="12">
        <v>18.52</v>
      </c>
      <c r="E22" s="1">
        <v>2.16</v>
      </c>
      <c r="F22" s="1">
        <v>3.43</v>
      </c>
      <c r="G22" s="1">
        <f t="shared" si="3"/>
        <v>12.93</v>
      </c>
      <c r="H22" s="7">
        <f t="shared" si="4"/>
        <v>894493.7760000001</v>
      </c>
      <c r="I22" s="12">
        <v>20.74</v>
      </c>
      <c r="J22" s="1">
        <v>3.02</v>
      </c>
      <c r="K22" s="1">
        <v>3.52</v>
      </c>
      <c r="L22" s="1">
        <f t="shared" si="5"/>
        <v>14.2</v>
      </c>
      <c r="M22" s="14">
        <f t="shared" si="0"/>
        <v>1.1198704103671706</v>
      </c>
      <c r="N22" s="9">
        <f t="shared" si="1"/>
        <v>1.0982211910286155</v>
      </c>
      <c r="O22" s="7">
        <f t="shared" si="2"/>
        <v>1001717.112</v>
      </c>
    </row>
    <row r="23" spans="1:15" ht="12.75">
      <c r="A23" s="1" t="s">
        <v>501</v>
      </c>
      <c r="B23" s="1">
        <v>4030</v>
      </c>
      <c r="C23" s="1"/>
      <c r="D23" s="12">
        <v>18.38</v>
      </c>
      <c r="E23" s="1">
        <v>2.16</v>
      </c>
      <c r="F23" s="1">
        <v>3.43</v>
      </c>
      <c r="G23" s="1">
        <f t="shared" si="3"/>
        <v>12.79</v>
      </c>
      <c r="H23" s="7">
        <f t="shared" si="4"/>
        <v>888856.7999999999</v>
      </c>
      <c r="I23" s="12">
        <v>20.72</v>
      </c>
      <c r="J23" s="1">
        <v>3.02</v>
      </c>
      <c r="K23" s="1">
        <v>3.56</v>
      </c>
      <c r="L23" s="1">
        <f t="shared" si="5"/>
        <v>14.139999999999999</v>
      </c>
      <c r="M23" s="14">
        <f t="shared" si="0"/>
        <v>1.1273122959738846</v>
      </c>
      <c r="N23" s="9">
        <f t="shared" si="1"/>
        <v>1.1055512118842845</v>
      </c>
      <c r="O23" s="7">
        <f t="shared" si="2"/>
        <v>1002019.2</v>
      </c>
    </row>
    <row r="24" spans="1:15" ht="12.75">
      <c r="A24" s="1" t="s">
        <v>500</v>
      </c>
      <c r="B24" s="1">
        <v>3979.1</v>
      </c>
      <c r="C24" s="1"/>
      <c r="D24" s="12">
        <v>18.37</v>
      </c>
      <c r="E24" s="1">
        <v>2.16</v>
      </c>
      <c r="F24" s="1">
        <v>3.43</v>
      </c>
      <c r="G24" s="1">
        <f t="shared" si="3"/>
        <v>12.780000000000001</v>
      </c>
      <c r="H24" s="7">
        <f t="shared" si="4"/>
        <v>877152.804</v>
      </c>
      <c r="I24" s="12">
        <v>21.56</v>
      </c>
      <c r="J24" s="1">
        <v>3.02</v>
      </c>
      <c r="K24" s="1">
        <v>3.56</v>
      </c>
      <c r="L24" s="1">
        <f t="shared" si="5"/>
        <v>14.979999999999999</v>
      </c>
      <c r="M24" s="14">
        <f t="shared" si="0"/>
        <v>1.1736526946107784</v>
      </c>
      <c r="N24" s="9">
        <f t="shared" si="1"/>
        <v>1.1721439749608762</v>
      </c>
      <c r="O24" s="7">
        <f t="shared" si="2"/>
        <v>1029472.7519999999</v>
      </c>
    </row>
    <row r="25" spans="1:15" ht="12.75">
      <c r="A25" s="1" t="s">
        <v>499</v>
      </c>
      <c r="B25" s="1">
        <v>3093.7</v>
      </c>
      <c r="C25" s="1"/>
      <c r="D25" s="12">
        <v>13.43</v>
      </c>
      <c r="E25" s="1">
        <v>2.26</v>
      </c>
      <c r="F25" s="1"/>
      <c r="G25" s="1">
        <f t="shared" si="3"/>
        <v>11.17</v>
      </c>
      <c r="H25" s="7">
        <f t="shared" si="4"/>
        <v>498580.6919999999</v>
      </c>
      <c r="I25" s="12">
        <v>14.51</v>
      </c>
      <c r="J25" s="1">
        <v>3.1</v>
      </c>
      <c r="K25" s="1"/>
      <c r="L25" s="1">
        <f t="shared" si="5"/>
        <v>11.41</v>
      </c>
      <c r="M25" s="14">
        <f t="shared" si="0"/>
        <v>1.0804169769173493</v>
      </c>
      <c r="N25" s="9">
        <f t="shared" si="1"/>
        <v>1.0214861235452104</v>
      </c>
      <c r="O25" s="7">
        <f t="shared" si="2"/>
        <v>538675.044</v>
      </c>
    </row>
    <row r="26" spans="1:15" ht="12.75">
      <c r="A26" s="1" t="s">
        <v>498</v>
      </c>
      <c r="B26" s="1">
        <v>4648.8</v>
      </c>
      <c r="C26" s="1">
        <v>71.7</v>
      </c>
      <c r="D26" s="12">
        <v>13.49</v>
      </c>
      <c r="E26" s="1">
        <v>2.26</v>
      </c>
      <c r="F26" s="1"/>
      <c r="G26" s="1">
        <f t="shared" si="3"/>
        <v>11.23</v>
      </c>
      <c r="H26" s="7">
        <f t="shared" si="4"/>
        <v>752547.7440000001</v>
      </c>
      <c r="I26" s="12">
        <v>14.35</v>
      </c>
      <c r="J26" s="1">
        <v>3.1</v>
      </c>
      <c r="K26" s="1"/>
      <c r="L26" s="1">
        <f t="shared" si="5"/>
        <v>11.25</v>
      </c>
      <c r="M26" s="14">
        <f t="shared" si="0"/>
        <v>1.0637509266123053</v>
      </c>
      <c r="N26" s="9">
        <f t="shared" si="1"/>
        <v>1.0017809439002672</v>
      </c>
      <c r="O26" s="7">
        <f t="shared" si="2"/>
        <v>800523.36</v>
      </c>
    </row>
    <row r="27" spans="1:15" ht="12.75">
      <c r="A27" s="1" t="s">
        <v>497</v>
      </c>
      <c r="B27" s="1">
        <v>4775.7</v>
      </c>
      <c r="C27" s="1"/>
      <c r="D27" s="12">
        <v>13.34</v>
      </c>
      <c r="E27" s="1">
        <v>2.26</v>
      </c>
      <c r="F27" s="1"/>
      <c r="G27" s="1">
        <f t="shared" si="3"/>
        <v>11.08</v>
      </c>
      <c r="H27" s="7">
        <f t="shared" si="4"/>
        <v>764494.056</v>
      </c>
      <c r="I27" s="12">
        <v>14.24</v>
      </c>
      <c r="J27" s="1">
        <v>3.1</v>
      </c>
      <c r="K27" s="1"/>
      <c r="L27" s="1">
        <f t="shared" si="5"/>
        <v>11.14</v>
      </c>
      <c r="M27" s="14">
        <f t="shared" si="0"/>
        <v>1.0674662668665666</v>
      </c>
      <c r="N27" s="9">
        <f t="shared" si="1"/>
        <v>1.0054151624548737</v>
      </c>
      <c r="O27" s="7">
        <f t="shared" si="2"/>
        <v>816071.6159999999</v>
      </c>
    </row>
    <row r="28" spans="1:15" ht="12.75">
      <c r="A28" s="1" t="s">
        <v>496</v>
      </c>
      <c r="B28" s="1">
        <v>4731.2</v>
      </c>
      <c r="C28" s="1"/>
      <c r="D28" s="12">
        <v>13.33</v>
      </c>
      <c r="E28" s="1">
        <v>2.26</v>
      </c>
      <c r="F28" s="1"/>
      <c r="G28" s="1">
        <f t="shared" si="3"/>
        <v>11.07</v>
      </c>
      <c r="H28" s="7">
        <f t="shared" si="4"/>
        <v>756802.752</v>
      </c>
      <c r="I28" s="12">
        <v>14.5</v>
      </c>
      <c r="J28" s="1">
        <v>3.1</v>
      </c>
      <c r="K28" s="1"/>
      <c r="L28" s="1">
        <f t="shared" si="5"/>
        <v>11.4</v>
      </c>
      <c r="M28" s="14">
        <f t="shared" si="0"/>
        <v>1.0877719429857464</v>
      </c>
      <c r="N28" s="9">
        <f t="shared" si="1"/>
        <v>1.029810298102981</v>
      </c>
      <c r="O28" s="7">
        <f t="shared" si="2"/>
        <v>823228.7999999999</v>
      </c>
    </row>
    <row r="29" spans="1:15" ht="12.75">
      <c r="A29" s="15" t="s">
        <v>495</v>
      </c>
      <c r="B29" s="15">
        <v>5494.8</v>
      </c>
      <c r="C29" s="15"/>
      <c r="D29" s="16">
        <v>12.14</v>
      </c>
      <c r="E29" s="15">
        <v>2.26</v>
      </c>
      <c r="F29" s="15"/>
      <c r="G29" s="15">
        <f t="shared" si="3"/>
        <v>9.88</v>
      </c>
      <c r="H29" s="17">
        <f t="shared" si="4"/>
        <v>800482.464</v>
      </c>
      <c r="I29" s="16">
        <v>13</v>
      </c>
      <c r="J29" s="15">
        <v>3.1</v>
      </c>
      <c r="K29" s="15"/>
      <c r="L29" s="15">
        <f t="shared" si="5"/>
        <v>9.9</v>
      </c>
      <c r="M29" s="18">
        <f t="shared" si="0"/>
        <v>1.0708401976935749</v>
      </c>
      <c r="N29" s="19">
        <f t="shared" si="1"/>
        <v>1.0020242914979756</v>
      </c>
      <c r="O29" s="17">
        <f t="shared" si="2"/>
        <v>857188.8</v>
      </c>
    </row>
    <row r="30" spans="1:15" ht="12.75">
      <c r="A30" s="1"/>
      <c r="B30" s="1"/>
      <c r="C30" s="1"/>
      <c r="D30" s="12"/>
      <c r="E30" s="1"/>
      <c r="F30" s="1"/>
      <c r="G30" s="1"/>
      <c r="H30" s="1"/>
      <c r="I30" s="12"/>
      <c r="J30" s="1"/>
      <c r="K30" s="1"/>
      <c r="L30" s="1"/>
      <c r="M30" s="12"/>
      <c r="N30" s="1"/>
      <c r="O30" s="1"/>
    </row>
    <row r="31" spans="1:15" ht="12.75">
      <c r="A31" s="2" t="s">
        <v>520</v>
      </c>
      <c r="B31" s="2">
        <v>87801.36</v>
      </c>
      <c r="C31" s="2"/>
      <c r="D31" s="13"/>
      <c r="E31" s="2"/>
      <c r="F31" s="2"/>
      <c r="G31" s="2"/>
      <c r="H31" s="2">
        <f>SUM(H11:H30)</f>
        <v>14959244.5632</v>
      </c>
      <c r="I31" s="13"/>
      <c r="J31" s="2"/>
      <c r="K31" s="2"/>
      <c r="L31" s="2"/>
      <c r="M31" s="13"/>
      <c r="N31" s="2"/>
      <c r="O31" s="6">
        <f>SUM(O11:O30)</f>
        <v>16280610.672</v>
      </c>
    </row>
    <row r="32" spans="1:15" ht="12.75">
      <c r="A32" s="22" t="s">
        <v>528</v>
      </c>
      <c r="B32" s="1"/>
      <c r="C32" s="1"/>
      <c r="D32" s="20">
        <f>H31/B31/12</f>
        <v>14.198000049201973</v>
      </c>
      <c r="E32" s="1"/>
      <c r="F32" s="1"/>
      <c r="G32" s="1"/>
      <c r="H32" s="7"/>
      <c r="I32" s="20">
        <f>O31/B31/12</f>
        <v>15.45212461401509</v>
      </c>
      <c r="J32" s="1"/>
      <c r="K32" s="1"/>
      <c r="L32" s="1"/>
      <c r="M32" s="21">
        <f>I32/D32</f>
        <v>1.0883310720148651</v>
      </c>
      <c r="N32" s="1"/>
      <c r="O32" s="7"/>
    </row>
    <row r="35" ht="12.75">
      <c r="C35" t="s">
        <v>530</v>
      </c>
    </row>
    <row r="36" ht="12.75">
      <c r="P36" s="5"/>
    </row>
  </sheetData>
  <mergeCells count="17">
    <mergeCell ref="L7:L9"/>
    <mergeCell ref="O6:O9"/>
    <mergeCell ref="N6:N9"/>
    <mergeCell ref="E7:E9"/>
    <mergeCell ref="F7:F9"/>
    <mergeCell ref="G7:G9"/>
    <mergeCell ref="I7:I9"/>
    <mergeCell ref="J7:J9"/>
    <mergeCell ref="M6:M9"/>
    <mergeCell ref="I6:L6"/>
    <mergeCell ref="K7:K9"/>
    <mergeCell ref="A6:A9"/>
    <mergeCell ref="B6:B9"/>
    <mergeCell ref="C6:C9"/>
    <mergeCell ref="D7:D9"/>
    <mergeCell ref="D6:H6"/>
    <mergeCell ref="H7:H9"/>
  </mergeCells>
  <printOptions verticalCentered="1"/>
  <pageMargins left="0" right="0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B4:O100"/>
  <sheetViews>
    <sheetView workbookViewId="0" topLeftCell="A4">
      <pane xSplit="1" ySplit="14" topLeftCell="B58" activePane="bottomRight" state="frozen"/>
      <selection pane="topLeft" activeCell="A4" sqref="A4"/>
      <selection pane="topRight" activeCell="B4" sqref="B4"/>
      <selection pane="bottomLeft" activeCell="A18" sqref="A18"/>
      <selection pane="bottomRight" activeCell="P61" sqref="P61"/>
    </sheetView>
  </sheetViews>
  <sheetFormatPr defaultColWidth="9.140625" defaultRowHeight="12.75"/>
  <cols>
    <col min="3" max="3" width="39.7109375" style="0" customWidth="1"/>
    <col min="4" max="4" width="15.421875" style="0" hidden="1" customWidth="1"/>
    <col min="5" max="5" width="15.7109375" style="0" hidden="1" customWidth="1"/>
    <col min="6" max="7" width="15.57421875" style="0" hidden="1" customWidth="1"/>
    <col min="8" max="8" width="13.421875" style="0" hidden="1" customWidth="1"/>
    <col min="9" max="9" width="11.421875" style="0" hidden="1" customWidth="1"/>
    <col min="10" max="10" width="12.7109375" style="0" hidden="1" customWidth="1"/>
    <col min="11" max="11" width="14.7109375" style="0" hidden="1" customWidth="1"/>
    <col min="12" max="12" width="12.421875" style="0" hidden="1" customWidth="1"/>
    <col min="13" max="13" width="11.28125" style="0" customWidth="1"/>
    <col min="14" max="14" width="10.57421875" style="0" customWidth="1"/>
    <col min="15" max="15" width="13.140625" style="0" customWidth="1"/>
    <col min="16" max="16" width="12.140625" style="0" customWidth="1"/>
    <col min="17" max="17" width="11.57421875" style="0" customWidth="1"/>
    <col min="18" max="18" width="12.00390625" style="0" customWidth="1"/>
  </cols>
  <sheetData>
    <row r="4" spans="2:3" ht="12.75">
      <c r="B4" s="5" t="s">
        <v>487</v>
      </c>
      <c r="C4" s="5" t="s">
        <v>510</v>
      </c>
    </row>
    <row r="5" spans="2:3" ht="12.75">
      <c r="B5" t="s">
        <v>488</v>
      </c>
      <c r="C5">
        <v>4025.3</v>
      </c>
    </row>
    <row r="6" spans="2:3" ht="12.75">
      <c r="B6" t="s">
        <v>489</v>
      </c>
      <c r="C6">
        <v>930</v>
      </c>
    </row>
    <row r="7" spans="2:3" ht="12.75">
      <c r="B7" t="s">
        <v>490</v>
      </c>
      <c r="C7">
        <v>1708</v>
      </c>
    </row>
    <row r="8" spans="2:3" ht="12.75">
      <c r="B8" t="s">
        <v>491</v>
      </c>
      <c r="C8">
        <v>747.4</v>
      </c>
    </row>
    <row r="9" spans="2:3" ht="12.75">
      <c r="B9" t="s">
        <v>492</v>
      </c>
      <c r="C9">
        <v>2</v>
      </c>
    </row>
    <row r="10" spans="2:3" ht="12.75">
      <c r="B10" t="s">
        <v>493</v>
      </c>
      <c r="C10">
        <v>72</v>
      </c>
    </row>
    <row r="11" spans="2:3" ht="12.75">
      <c r="B11" t="s">
        <v>516</v>
      </c>
      <c r="C11">
        <v>2</v>
      </c>
    </row>
    <row r="13" spans="2:14" ht="12.75">
      <c r="B13" s="74" t="s">
        <v>40</v>
      </c>
      <c r="C13" s="74" t="s">
        <v>22</v>
      </c>
      <c r="D13" s="74" t="s">
        <v>41</v>
      </c>
      <c r="E13" s="74" t="s">
        <v>42</v>
      </c>
      <c r="F13" s="74" t="s">
        <v>43</v>
      </c>
      <c r="G13" s="74" t="s">
        <v>44</v>
      </c>
      <c r="H13" s="74"/>
      <c r="I13" s="79" t="s">
        <v>123</v>
      </c>
      <c r="J13" s="79"/>
      <c r="K13" s="74" t="s">
        <v>131</v>
      </c>
      <c r="L13" s="74"/>
      <c r="M13" s="74"/>
      <c r="N13" s="74"/>
    </row>
    <row r="14" spans="2:14" ht="12.75">
      <c r="B14" s="74"/>
      <c r="C14" s="74"/>
      <c r="D14" s="74"/>
      <c r="E14" s="74"/>
      <c r="F14" s="74"/>
      <c r="G14" s="74" t="s">
        <v>122</v>
      </c>
      <c r="H14" s="74" t="s">
        <v>45</v>
      </c>
      <c r="I14" s="74" t="s">
        <v>124</v>
      </c>
      <c r="J14" s="74" t="s">
        <v>125</v>
      </c>
      <c r="K14" s="74" t="s">
        <v>132</v>
      </c>
      <c r="L14" s="81" t="s">
        <v>172</v>
      </c>
      <c r="M14" s="81" t="s">
        <v>222</v>
      </c>
      <c r="N14" s="81" t="s">
        <v>305</v>
      </c>
    </row>
    <row r="15" spans="2:14" ht="12.7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81"/>
      <c r="M15" s="81"/>
      <c r="N15" s="81"/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4" t="s">
        <v>46</v>
      </c>
      <c r="D21" s="2"/>
      <c r="E21" s="2">
        <v>141634.46</v>
      </c>
      <c r="F21" s="2"/>
      <c r="G21" s="2">
        <v>98901.86</v>
      </c>
      <c r="H21" s="2">
        <v>42732.6</v>
      </c>
      <c r="I21" s="1"/>
      <c r="J21" s="1"/>
      <c r="K21" s="1"/>
      <c r="L21" s="1"/>
      <c r="M21" s="1"/>
      <c r="N21" s="1"/>
    </row>
    <row r="22" spans="2:14" ht="12.75">
      <c r="B22" s="1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 t="s">
        <v>47</v>
      </c>
      <c r="C23" s="4" t="s">
        <v>23</v>
      </c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</row>
    <row r="24" spans="2:14" ht="25.5">
      <c r="B24" s="1" t="s">
        <v>48</v>
      </c>
      <c r="C24" s="4" t="s">
        <v>24</v>
      </c>
      <c r="D24" s="2"/>
      <c r="E24" s="2">
        <v>17784</v>
      </c>
      <c r="F24" s="2"/>
      <c r="G24" s="2">
        <v>10809.7</v>
      </c>
      <c r="H24" s="2">
        <v>6974.3</v>
      </c>
      <c r="I24" s="1"/>
      <c r="J24" s="1"/>
      <c r="K24" s="1"/>
      <c r="L24" s="1"/>
      <c r="M24" s="1"/>
      <c r="N24" s="1"/>
    </row>
    <row r="25" spans="2:14" ht="25.5">
      <c r="B25" s="1" t="s">
        <v>49</v>
      </c>
      <c r="C25" s="3" t="s">
        <v>25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5" ht="25.5">
      <c r="B26" s="1" t="s">
        <v>50</v>
      </c>
      <c r="C26" s="3" t="s">
        <v>26</v>
      </c>
      <c r="D26" s="1" t="s">
        <v>51</v>
      </c>
      <c r="E26" s="1"/>
      <c r="F26" s="1">
        <v>2343012.48</v>
      </c>
      <c r="G26" s="1">
        <v>1045514.2</v>
      </c>
      <c r="H26" s="1">
        <v>1297498.3</v>
      </c>
      <c r="I26" s="1">
        <f>H26/H24*C8</f>
        <v>139046.24541817818</v>
      </c>
      <c r="J26" s="30">
        <f>I26/C5/12</f>
        <v>2.878589699694809</v>
      </c>
      <c r="K26" s="42">
        <f>J26*C5*3</f>
        <v>34761.561354544545</v>
      </c>
      <c r="L26" s="7">
        <f>J26*C5*6</f>
        <v>69523.12270908909</v>
      </c>
      <c r="M26" s="7">
        <f>J26*C5*9</f>
        <v>104284.68406363364</v>
      </c>
      <c r="N26" s="7">
        <f>J26*C5*12</f>
        <v>139046.24541817818</v>
      </c>
      <c r="O26" t="s">
        <v>143</v>
      </c>
    </row>
    <row r="27" spans="2:14" ht="25.5">
      <c r="B27" s="1" t="s">
        <v>52</v>
      </c>
      <c r="C27" s="3" t="s">
        <v>27</v>
      </c>
      <c r="D27" s="1" t="s">
        <v>53</v>
      </c>
      <c r="E27" s="1"/>
      <c r="F27" s="1">
        <v>796624.2</v>
      </c>
      <c r="G27" s="1">
        <v>355474.8</v>
      </c>
      <c r="H27" s="1">
        <v>441149.4</v>
      </c>
      <c r="I27" s="1">
        <f>H27/H24*C8</f>
        <v>47275.72108455329</v>
      </c>
      <c r="J27" s="30">
        <f>I27/C5/12</f>
        <v>0.9787204490877137</v>
      </c>
      <c r="K27" s="42">
        <f>J27*C5*3</f>
        <v>11818.930271138322</v>
      </c>
      <c r="L27" s="7">
        <f>J27*C5*6</f>
        <v>23637.860542276645</v>
      </c>
      <c r="M27" s="7">
        <f>J27*C5*9</f>
        <v>35456.79081341497</v>
      </c>
      <c r="N27" s="7">
        <f>J27*C5*12</f>
        <v>47275.72108455329</v>
      </c>
    </row>
    <row r="28" spans="2:14" ht="12.75">
      <c r="B28" s="1" t="s">
        <v>54</v>
      </c>
      <c r="C28" s="3" t="s">
        <v>28</v>
      </c>
      <c r="D28" s="1" t="s">
        <v>536</v>
      </c>
      <c r="E28" s="1"/>
      <c r="F28" s="1">
        <v>116909.87</v>
      </c>
      <c r="G28" s="1">
        <v>71061.7</v>
      </c>
      <c r="H28" s="1">
        <v>45848.2</v>
      </c>
      <c r="I28" s="1">
        <f>H28/H24*C8</f>
        <v>4913.31670275153</v>
      </c>
      <c r="J28" s="30">
        <f>I28/C5/12</f>
        <v>0.101717402072548</v>
      </c>
      <c r="K28" s="42">
        <f>J28*C5*3</f>
        <v>1228.3291756878825</v>
      </c>
      <c r="L28" s="7">
        <f>J28*C5*6</f>
        <v>2456.658351375765</v>
      </c>
      <c r="M28" s="7">
        <f>J28*C5*9</f>
        <v>3684.987527063647</v>
      </c>
      <c r="N28" s="7">
        <f>J28*C5*12</f>
        <v>4913.31670275153</v>
      </c>
    </row>
    <row r="29" spans="2:14" ht="12.75">
      <c r="B29" s="1" t="s">
        <v>55</v>
      </c>
      <c r="C29" s="3" t="s">
        <v>29</v>
      </c>
      <c r="D29" s="1"/>
      <c r="E29" s="1">
        <v>15</v>
      </c>
      <c r="F29" s="1"/>
      <c r="G29" s="1"/>
      <c r="H29" s="1"/>
      <c r="I29" s="1"/>
      <c r="J29" s="1"/>
      <c r="K29" s="42"/>
      <c r="L29" s="7"/>
      <c r="M29" s="7"/>
      <c r="N29" s="7"/>
    </row>
    <row r="30" spans="2:14" ht="38.25">
      <c r="B30" s="1" t="s">
        <v>56</v>
      </c>
      <c r="C30" s="3" t="s">
        <v>57</v>
      </c>
      <c r="D30" s="3" t="s">
        <v>58</v>
      </c>
      <c r="E30" s="1"/>
      <c r="F30" s="1">
        <v>674</v>
      </c>
      <c r="G30" s="1"/>
      <c r="H30" s="1">
        <v>674</v>
      </c>
      <c r="I30" s="1">
        <f>H30/H24*C8</f>
        <v>72.22912693747043</v>
      </c>
      <c r="J30" s="30">
        <f>I30/C5/12</f>
        <v>0.001495315606651894</v>
      </c>
      <c r="K30" s="42">
        <f>J30*C5*3</f>
        <v>18.057281734367606</v>
      </c>
      <c r="L30" s="7">
        <f>J30*C5*6</f>
        <v>36.11456346873521</v>
      </c>
      <c r="M30" s="7">
        <f>J30*C5*9</f>
        <v>54.17184520310282</v>
      </c>
      <c r="N30" s="7">
        <f>J30*C5*12</f>
        <v>72.22912693747043</v>
      </c>
    </row>
    <row r="31" spans="2:14" ht="25.5">
      <c r="B31" s="1" t="s">
        <v>59</v>
      </c>
      <c r="C31" s="3" t="s">
        <v>30</v>
      </c>
      <c r="D31" s="1"/>
      <c r="E31" s="1"/>
      <c r="F31" s="1"/>
      <c r="G31" s="1"/>
      <c r="H31" s="1"/>
      <c r="I31" s="1"/>
      <c r="J31" s="1"/>
      <c r="K31" s="42"/>
      <c r="L31" s="7"/>
      <c r="M31" s="7"/>
      <c r="N31" s="7"/>
    </row>
    <row r="32" spans="2:14" ht="12.75">
      <c r="B32" s="1"/>
      <c r="C32" s="4" t="s">
        <v>60</v>
      </c>
      <c r="D32" s="2"/>
      <c r="E32" s="2"/>
      <c r="F32" s="2">
        <v>3257220.6</v>
      </c>
      <c r="G32" s="2">
        <v>1472050.7</v>
      </c>
      <c r="H32" s="2">
        <v>1785169.9</v>
      </c>
      <c r="I32" s="2">
        <f aca="true" t="shared" si="0" ref="I32:N32">SUM(I26:I31)</f>
        <v>191307.51233242048</v>
      </c>
      <c r="J32" s="31">
        <f t="shared" si="0"/>
        <v>3.9605228664617225</v>
      </c>
      <c r="K32" s="43">
        <f t="shared" si="0"/>
        <v>47826.87808310512</v>
      </c>
      <c r="L32" s="6">
        <f t="shared" si="0"/>
        <v>95653.75616621024</v>
      </c>
      <c r="M32" s="6">
        <f t="shared" si="0"/>
        <v>143480.63424931534</v>
      </c>
      <c r="N32" s="6">
        <f t="shared" si="0"/>
        <v>191307.51233242048</v>
      </c>
    </row>
    <row r="33" spans="2:14" ht="38.25">
      <c r="B33" s="1" t="s">
        <v>61</v>
      </c>
      <c r="C33" s="4" t="s">
        <v>31</v>
      </c>
      <c r="D33" s="2"/>
      <c r="E33" s="2">
        <v>111234.9</v>
      </c>
      <c r="F33" s="2"/>
      <c r="G33" s="2">
        <v>78376.2</v>
      </c>
      <c r="H33" s="2">
        <v>32858.7</v>
      </c>
      <c r="I33" s="1"/>
      <c r="J33" s="1"/>
      <c r="K33" s="1"/>
      <c r="L33" s="7"/>
      <c r="M33" s="7"/>
      <c r="N33" s="7"/>
    </row>
    <row r="34" spans="2:14" ht="12.75">
      <c r="B34" s="1" t="s">
        <v>62</v>
      </c>
      <c r="C34" s="3" t="s">
        <v>32</v>
      </c>
      <c r="D34" s="1" t="s">
        <v>51</v>
      </c>
      <c r="E34" s="1"/>
      <c r="F34" s="1">
        <v>815719.552</v>
      </c>
      <c r="G34" s="1">
        <v>574756.7</v>
      </c>
      <c r="H34" s="1">
        <v>240962.9</v>
      </c>
      <c r="I34" s="1">
        <f>H34/H33*(C7+C6)</f>
        <v>19345.26107849672</v>
      </c>
      <c r="J34" s="30">
        <f>I34/C5/12</f>
        <v>0.4004931532742222</v>
      </c>
      <c r="K34" s="42">
        <f>J34*C5*3</f>
        <v>4836.31526962418</v>
      </c>
      <c r="L34" s="7">
        <f>J34*C5*6</f>
        <v>9672.63053924836</v>
      </c>
      <c r="M34" s="7">
        <f>J34*C5*9</f>
        <v>14508.94580887254</v>
      </c>
      <c r="N34" s="7">
        <f>J34*C5*12</f>
        <v>19345.26107849672</v>
      </c>
    </row>
    <row r="35" spans="2:14" ht="12.75">
      <c r="B35" s="1" t="s">
        <v>63</v>
      </c>
      <c r="C35" s="3" t="s">
        <v>312</v>
      </c>
      <c r="D35" s="1" t="s">
        <v>53</v>
      </c>
      <c r="E35" s="1"/>
      <c r="F35" s="1">
        <v>277344.6</v>
      </c>
      <c r="G35" s="1">
        <v>195417.3</v>
      </c>
      <c r="H35" s="1">
        <v>81927.4</v>
      </c>
      <c r="I35" s="1">
        <f>H35/H33*(C7+C6)</f>
        <v>6577.3898906530085</v>
      </c>
      <c r="J35" s="30">
        <f>I35/C5/12</f>
        <v>0.13616769538197998</v>
      </c>
      <c r="K35" s="42">
        <f>J35*C5*3</f>
        <v>1644.3474726632521</v>
      </c>
      <c r="L35" s="7">
        <f>J35*C5*6</f>
        <v>3288.6949453265042</v>
      </c>
      <c r="M35" s="7">
        <f>J35*C5*9</f>
        <v>4933.042417989756</v>
      </c>
      <c r="N35" s="7">
        <f>J35*C5*12</f>
        <v>6577.3898906530085</v>
      </c>
    </row>
    <row r="36" spans="2:14" ht="12.75">
      <c r="B36" s="1" t="s">
        <v>65</v>
      </c>
      <c r="C36" s="3" t="s">
        <v>66</v>
      </c>
      <c r="D36" s="1" t="s">
        <v>536</v>
      </c>
      <c r="E36" s="1"/>
      <c r="F36" s="1">
        <v>115582.34</v>
      </c>
      <c r="G36" s="1">
        <v>81439.4</v>
      </c>
      <c r="H36" s="1">
        <v>34142.9</v>
      </c>
      <c r="I36" s="1">
        <f>H36/H33*(C6+C7)</f>
        <v>2741.0996235395805</v>
      </c>
      <c r="J36" s="30">
        <f>I36/C5/12</f>
        <v>0.05674731538725023</v>
      </c>
      <c r="K36" s="42">
        <f>J36*C5*3</f>
        <v>685.2749058848951</v>
      </c>
      <c r="L36" s="7">
        <f>J36*C5*6</f>
        <v>1370.5498117697903</v>
      </c>
      <c r="M36" s="7">
        <f>J36*C5*9</f>
        <v>2055.824717654685</v>
      </c>
      <c r="N36" s="7">
        <f>J36*C5*12</f>
        <v>2741.0996235395805</v>
      </c>
    </row>
    <row r="37" spans="2:14" ht="25.5">
      <c r="B37" s="1" t="s">
        <v>67</v>
      </c>
      <c r="C37" s="3" t="s">
        <v>34</v>
      </c>
      <c r="D37" s="1" t="s">
        <v>68</v>
      </c>
      <c r="E37" s="1"/>
      <c r="F37" s="1">
        <v>55220.9</v>
      </c>
      <c r="G37" s="1">
        <v>38908.7</v>
      </c>
      <c r="H37" s="1">
        <v>16312.2</v>
      </c>
      <c r="I37" s="1">
        <f>H37/H33*(C7+C6)</f>
        <v>1309.5948287668107</v>
      </c>
      <c r="J37" s="30">
        <f>I37/C5/12</f>
        <v>0.027111743819649273</v>
      </c>
      <c r="K37" s="42">
        <f>J37*C5*3</f>
        <v>327.39870719170267</v>
      </c>
      <c r="L37" s="7">
        <f>J37*C5*6</f>
        <v>654.7974143834053</v>
      </c>
      <c r="M37" s="7">
        <f>J37*C5*9</f>
        <v>982.196121575108</v>
      </c>
      <c r="N37" s="7">
        <f>J37*C5*12</f>
        <v>1309.5948287668107</v>
      </c>
    </row>
    <row r="38" spans="2:14" ht="25.5">
      <c r="B38" s="1" t="s">
        <v>69</v>
      </c>
      <c r="C38" s="3" t="s">
        <v>35</v>
      </c>
      <c r="D38" s="1"/>
      <c r="E38" s="1"/>
      <c r="F38" s="1"/>
      <c r="G38" s="1"/>
      <c r="H38" s="1"/>
      <c r="I38" s="1"/>
      <c r="J38" s="30"/>
      <c r="K38" s="42"/>
      <c r="L38" s="7"/>
      <c r="M38" s="7"/>
      <c r="N38" s="7"/>
    </row>
    <row r="39" spans="2:14" ht="12.75">
      <c r="B39" s="1" t="s">
        <v>70</v>
      </c>
      <c r="C39" s="3" t="s">
        <v>36</v>
      </c>
      <c r="D39" s="1" t="s">
        <v>71</v>
      </c>
      <c r="E39" s="1"/>
      <c r="F39" s="1"/>
      <c r="G39" s="1"/>
      <c r="H39" s="1"/>
      <c r="I39" s="1"/>
      <c r="J39" s="30"/>
      <c r="K39" s="42"/>
      <c r="L39" s="7"/>
      <c r="M39" s="7"/>
      <c r="N39" s="7"/>
    </row>
    <row r="40" spans="2:14" ht="12.75">
      <c r="B40" s="1" t="s">
        <v>72</v>
      </c>
      <c r="C40" s="3" t="s">
        <v>73</v>
      </c>
      <c r="D40" s="1"/>
      <c r="E40" s="1"/>
      <c r="F40" s="1">
        <v>30500</v>
      </c>
      <c r="G40" s="1">
        <v>21297.8</v>
      </c>
      <c r="H40" s="1">
        <v>9202.2</v>
      </c>
      <c r="I40" s="1">
        <f>H40/H21*C5</f>
        <v>866.8233540669186</v>
      </c>
      <c r="J40" s="30">
        <f>I40/C5/12</f>
        <v>0.017945315754248514</v>
      </c>
      <c r="K40" s="42">
        <f>J40*C5*3</f>
        <v>216.7058385167296</v>
      </c>
      <c r="L40" s="7">
        <f>J40*C5*6</f>
        <v>433.4116770334592</v>
      </c>
      <c r="M40" s="7">
        <f>J40*C5*9</f>
        <v>650.1175155501888</v>
      </c>
      <c r="N40" s="7">
        <f>J40*C5*12</f>
        <v>866.8233540669185</v>
      </c>
    </row>
    <row r="41" spans="2:14" ht="12.75">
      <c r="B41" s="1"/>
      <c r="C41" s="4" t="s">
        <v>60</v>
      </c>
      <c r="D41" s="2"/>
      <c r="E41" s="2"/>
      <c r="F41" s="2">
        <v>1294367.4</v>
      </c>
      <c r="G41" s="2">
        <v>911819.85</v>
      </c>
      <c r="H41" s="2">
        <v>382547.6</v>
      </c>
      <c r="I41" s="2">
        <f aca="true" t="shared" si="1" ref="I41:N41">SUM(I34:I40)</f>
        <v>30840.168775523034</v>
      </c>
      <c r="J41" s="31">
        <f t="shared" si="1"/>
        <v>0.6384652236173501</v>
      </c>
      <c r="K41" s="43">
        <f t="shared" si="1"/>
        <v>7710.0421938807585</v>
      </c>
      <c r="L41" s="6">
        <f t="shared" si="1"/>
        <v>15420.084387761517</v>
      </c>
      <c r="M41" s="6">
        <f t="shared" si="1"/>
        <v>23130.12658164228</v>
      </c>
      <c r="N41" s="6">
        <f t="shared" si="1"/>
        <v>30840.168775523034</v>
      </c>
    </row>
    <row r="42" spans="2:14" ht="12.75">
      <c r="B42" s="1" t="s">
        <v>74</v>
      </c>
      <c r="C42" s="4" t="s">
        <v>37</v>
      </c>
      <c r="D42" s="2"/>
      <c r="E42" s="2"/>
      <c r="F42" s="2">
        <v>5004925.7</v>
      </c>
      <c r="G42" s="2">
        <v>3548598.7</v>
      </c>
      <c r="H42" s="2">
        <v>1456327</v>
      </c>
      <c r="I42" s="2">
        <f>H42/H21*C5</f>
        <v>137182.2232464208</v>
      </c>
      <c r="J42" s="31">
        <f>I42/C5/12</f>
        <v>2.8399999843991086</v>
      </c>
      <c r="K42" s="43">
        <f>J42*C5*3</f>
        <v>34295.5558116052</v>
      </c>
      <c r="L42" s="6">
        <f>J42*C5*6</f>
        <v>68591.1116232104</v>
      </c>
      <c r="M42" s="6">
        <f>J42*C5*9</f>
        <v>102886.6674348156</v>
      </c>
      <c r="N42" s="6">
        <f>J42*C5*12</f>
        <v>137182.2232464208</v>
      </c>
    </row>
    <row r="43" spans="2:14" ht="25.5">
      <c r="B43" s="1" t="s">
        <v>75</v>
      </c>
      <c r="C43" s="4" t="s">
        <v>38</v>
      </c>
      <c r="D43" s="2"/>
      <c r="E43" s="2">
        <v>141634.46</v>
      </c>
      <c r="F43" s="2"/>
      <c r="G43" s="2">
        <v>98901.86</v>
      </c>
      <c r="H43" s="2">
        <v>42732.6</v>
      </c>
      <c r="I43" s="1"/>
      <c r="J43" s="1"/>
      <c r="K43" s="1"/>
      <c r="L43" s="7"/>
      <c r="M43" s="7"/>
      <c r="N43" s="7"/>
    </row>
    <row r="44" spans="2:14" ht="51">
      <c r="B44" s="1" t="s">
        <v>76</v>
      </c>
      <c r="C44" s="3" t="s">
        <v>77</v>
      </c>
      <c r="D44" s="1" t="s">
        <v>51</v>
      </c>
      <c r="E44" s="1"/>
      <c r="F44" s="1">
        <v>558138</v>
      </c>
      <c r="G44" s="1">
        <v>389741.9</v>
      </c>
      <c r="H44" s="1">
        <v>168396.1</v>
      </c>
      <c r="I44" s="1">
        <f>H44/H43*C5</f>
        <v>15862.475518222624</v>
      </c>
      <c r="J44" s="30">
        <f>I44/C5/12</f>
        <v>0.3283911658390394</v>
      </c>
      <c r="K44" s="42">
        <f>J44*C5*3</f>
        <v>3965.618879555656</v>
      </c>
      <c r="L44" s="7">
        <f>J44*C5*6</f>
        <v>7931.237759111312</v>
      </c>
      <c r="M44" s="7">
        <f>J44*C5*9</f>
        <v>11896.856638666968</v>
      </c>
      <c r="N44" s="7">
        <f>J44*C5*12</f>
        <v>15862.475518222624</v>
      </c>
    </row>
    <row r="45" spans="2:14" ht="76.5">
      <c r="B45" s="1" t="s">
        <v>78</v>
      </c>
      <c r="C45" s="4" t="s">
        <v>479</v>
      </c>
      <c r="D45" s="1" t="s">
        <v>53</v>
      </c>
      <c r="E45" s="1"/>
      <c r="F45" s="1">
        <v>189767</v>
      </c>
      <c r="G45" s="1">
        <v>132512</v>
      </c>
      <c r="H45" s="1">
        <v>57255</v>
      </c>
      <c r="I45" s="1">
        <f>H45/H43*C5</f>
        <v>5393.272384549501</v>
      </c>
      <c r="J45" s="30">
        <f>I45/C5/12</f>
        <v>0.11165363212161207</v>
      </c>
      <c r="K45" s="42">
        <f>J45*C5*3</f>
        <v>1348.3180961373753</v>
      </c>
      <c r="L45" s="7">
        <f>J45*C5*6</f>
        <v>2696.6361922747506</v>
      </c>
      <c r="M45" s="7">
        <f>J45*C5*9</f>
        <v>4044.9542884121256</v>
      </c>
      <c r="N45" s="7">
        <f>J45*C5*12</f>
        <v>5393.272384549501</v>
      </c>
    </row>
    <row r="46" spans="2:14" ht="89.25">
      <c r="B46" s="1" t="s">
        <v>80</v>
      </c>
      <c r="C46" s="29" t="s">
        <v>129</v>
      </c>
      <c r="D46" s="1" t="s">
        <v>536</v>
      </c>
      <c r="E46" s="1"/>
      <c r="F46" s="1">
        <v>111512.16</v>
      </c>
      <c r="G46" s="1">
        <v>77867.8</v>
      </c>
      <c r="H46" s="1">
        <v>33644.4</v>
      </c>
      <c r="I46" s="1">
        <f>H46/H43*C5</f>
        <v>3169.2151500259756</v>
      </c>
      <c r="J46" s="30">
        <f>I46/C5/12</f>
        <v>0.06561033028647918</v>
      </c>
      <c r="K46" s="42">
        <f>J46*C5*3</f>
        <v>792.303787506494</v>
      </c>
      <c r="L46" s="7">
        <f>J46*C5*6</f>
        <v>1584.607575012988</v>
      </c>
      <c r="M46" s="7">
        <f>J46*C5*9</f>
        <v>2376.9113625194823</v>
      </c>
      <c r="N46" s="7">
        <f>J46*C5*12</f>
        <v>3169.215150025976</v>
      </c>
    </row>
    <row r="47" spans="2:14" ht="12.75">
      <c r="B47" s="1"/>
      <c r="C47" s="4" t="s">
        <v>259</v>
      </c>
      <c r="D47" s="1"/>
      <c r="E47" s="1"/>
      <c r="F47" s="1"/>
      <c r="G47" s="1"/>
      <c r="H47" s="1"/>
      <c r="I47" s="1"/>
      <c r="J47" s="30"/>
      <c r="K47" s="42"/>
      <c r="L47" s="7"/>
      <c r="M47" s="7"/>
      <c r="N47" s="7"/>
    </row>
    <row r="48" spans="2:14" ht="12.75">
      <c r="B48" s="1"/>
      <c r="C48" s="3"/>
      <c r="D48" s="1" t="s">
        <v>71</v>
      </c>
      <c r="E48" s="1"/>
      <c r="F48" s="1"/>
      <c r="G48" s="1"/>
      <c r="H48" s="1"/>
      <c r="I48" s="1"/>
      <c r="J48" s="30"/>
      <c r="K48" s="42"/>
      <c r="L48" s="7"/>
      <c r="M48" s="7"/>
      <c r="N48" s="7"/>
    </row>
    <row r="49" spans="2:14" ht="12.75">
      <c r="B49" s="1"/>
      <c r="C49" s="4" t="s">
        <v>60</v>
      </c>
      <c r="D49" s="2"/>
      <c r="E49" s="2"/>
      <c r="F49" s="2">
        <v>859417.1</v>
      </c>
      <c r="G49" s="2">
        <v>600121.9</v>
      </c>
      <c r="H49" s="2">
        <v>259295.1</v>
      </c>
      <c r="I49" s="2">
        <f aca="true" t="shared" si="2" ref="I49:N49">SUM(I44:I48)</f>
        <v>24424.9630527981</v>
      </c>
      <c r="J49" s="31">
        <f t="shared" si="2"/>
        <v>0.5056551282471307</v>
      </c>
      <c r="K49" s="43">
        <f t="shared" si="2"/>
        <v>6106.240763199525</v>
      </c>
      <c r="L49" s="6">
        <f t="shared" si="2"/>
        <v>12212.48152639905</v>
      </c>
      <c r="M49" s="6">
        <f t="shared" si="2"/>
        <v>18318.722289598576</v>
      </c>
      <c r="N49" s="6">
        <f t="shared" si="2"/>
        <v>24424.9630527981</v>
      </c>
    </row>
    <row r="50" spans="2:14" ht="38.25">
      <c r="B50" s="1" t="s">
        <v>81</v>
      </c>
      <c r="C50" s="4" t="s">
        <v>39</v>
      </c>
      <c r="D50" s="2"/>
      <c r="E50" s="2">
        <v>141634.46</v>
      </c>
      <c r="F50" s="2"/>
      <c r="G50" s="2">
        <v>98901.86</v>
      </c>
      <c r="H50" s="2">
        <v>42732.6</v>
      </c>
      <c r="I50" s="1"/>
      <c r="J50" s="1"/>
      <c r="K50" s="1"/>
      <c r="L50" s="7"/>
      <c r="M50" s="7"/>
      <c r="N50" s="7"/>
    </row>
    <row r="51" spans="2:14" ht="25.5">
      <c r="B51" s="1" t="s">
        <v>82</v>
      </c>
      <c r="C51" s="3" t="s">
        <v>83</v>
      </c>
      <c r="D51" s="1" t="s">
        <v>51</v>
      </c>
      <c r="E51" s="1"/>
      <c r="F51" s="1">
        <v>667518.8</v>
      </c>
      <c r="G51" s="1">
        <v>466121.4</v>
      </c>
      <c r="H51" s="1">
        <v>201397.4</v>
      </c>
      <c r="I51" s="1">
        <f>H51/H50*C5</f>
        <v>18971.112317528074</v>
      </c>
      <c r="J51" s="30">
        <f>I51/C5/12</f>
        <v>0.3927473794402088</v>
      </c>
      <c r="K51" s="42">
        <f>J51*C5*3</f>
        <v>4742.7780793820175</v>
      </c>
      <c r="L51" s="7">
        <f>J51*C5*6</f>
        <v>9485.556158764035</v>
      </c>
      <c r="M51" s="7">
        <f>J51*C5*9</f>
        <v>14228.334238146053</v>
      </c>
      <c r="N51" s="7">
        <f>J51*C5*12</f>
        <v>18971.11231752807</v>
      </c>
    </row>
    <row r="52" spans="2:14" ht="25.5">
      <c r="B52" s="1" t="s">
        <v>84</v>
      </c>
      <c r="C52" s="3" t="s">
        <v>427</v>
      </c>
      <c r="D52" s="1" t="s">
        <v>53</v>
      </c>
      <c r="E52" s="1"/>
      <c r="F52" s="1">
        <v>226956</v>
      </c>
      <c r="G52" s="1">
        <v>158481.3</v>
      </c>
      <c r="H52" s="1">
        <v>68475.1</v>
      </c>
      <c r="I52" s="1">
        <f>H52/H50*C5</f>
        <v>6450.176680801075</v>
      </c>
      <c r="J52" s="30">
        <f>I52/C5/12</f>
        <v>0.1335340778078875</v>
      </c>
      <c r="K52" s="42">
        <f>J52*C5*3</f>
        <v>1612.5441702002686</v>
      </c>
      <c r="L52" s="7">
        <f>J52*C5*6</f>
        <v>3225.088340400537</v>
      </c>
      <c r="M52" s="7">
        <f>J52*C5*9</f>
        <v>4837.632510600806</v>
      </c>
      <c r="N52" s="7">
        <f>J52*C5*12</f>
        <v>6450.176680801074</v>
      </c>
    </row>
    <row r="53" spans="2:14" ht="51">
      <c r="B53" s="1" t="s">
        <v>86</v>
      </c>
      <c r="C53" s="3" t="s">
        <v>464</v>
      </c>
      <c r="D53" s="1" t="s">
        <v>536</v>
      </c>
      <c r="E53" s="1"/>
      <c r="F53" s="1">
        <v>446048.65</v>
      </c>
      <c r="G53" s="1">
        <v>311471.1</v>
      </c>
      <c r="H53" s="1">
        <v>134577.5</v>
      </c>
      <c r="I53" s="1">
        <f>H53/H50*C5</f>
        <v>12676.851180363472</v>
      </c>
      <c r="J53" s="30">
        <f>I53/C5/12</f>
        <v>0.2624411261347699</v>
      </c>
      <c r="K53" s="42">
        <f>J53*C5*3</f>
        <v>3169.212795090868</v>
      </c>
      <c r="L53" s="7">
        <f>J53*C5*6</f>
        <v>6338.425590181736</v>
      </c>
      <c r="M53" s="7">
        <f>J53*C5*9</f>
        <v>9507.638385272603</v>
      </c>
      <c r="N53" s="7">
        <f>J53*C5*12</f>
        <v>12676.851180363472</v>
      </c>
    </row>
    <row r="54" spans="2:14" ht="25.5">
      <c r="B54" s="1" t="s">
        <v>88</v>
      </c>
      <c r="C54" s="3" t="s">
        <v>130</v>
      </c>
      <c r="D54" s="1"/>
      <c r="E54" s="1"/>
      <c r="F54" s="1"/>
      <c r="G54" s="1"/>
      <c r="H54" s="1"/>
      <c r="I54" s="1"/>
      <c r="J54" s="30"/>
      <c r="K54" s="42"/>
      <c r="L54" s="7"/>
      <c r="M54" s="7"/>
      <c r="N54" s="7"/>
    </row>
    <row r="55" spans="2:14" ht="25.5">
      <c r="B55" s="1" t="s">
        <v>89</v>
      </c>
      <c r="C55" s="3" t="s">
        <v>90</v>
      </c>
      <c r="D55" s="1" t="s">
        <v>71</v>
      </c>
      <c r="E55" s="1"/>
      <c r="F55" s="1"/>
      <c r="G55" s="1"/>
      <c r="H55" s="1"/>
      <c r="I55" s="1"/>
      <c r="J55" s="30"/>
      <c r="K55" s="42"/>
      <c r="L55" s="7"/>
      <c r="M55" s="7"/>
      <c r="N55" s="7"/>
    </row>
    <row r="56" spans="2:14" ht="63.75">
      <c r="B56" s="1" t="s">
        <v>91</v>
      </c>
      <c r="C56" s="3" t="s">
        <v>92</v>
      </c>
      <c r="D56" s="1"/>
      <c r="E56" s="1"/>
      <c r="F56" s="1"/>
      <c r="G56" s="1"/>
      <c r="H56" s="1"/>
      <c r="I56" s="1"/>
      <c r="J56" s="30"/>
      <c r="K56" s="42"/>
      <c r="L56" s="7"/>
      <c r="M56" s="7"/>
      <c r="N56" s="7"/>
    </row>
    <row r="57" spans="2:14" ht="25.5">
      <c r="B57" s="1" t="s">
        <v>93</v>
      </c>
      <c r="C57" s="3" t="s">
        <v>94</v>
      </c>
      <c r="D57" s="1"/>
      <c r="E57" s="1"/>
      <c r="F57" s="1"/>
      <c r="G57" s="1"/>
      <c r="H57" s="1"/>
      <c r="I57" s="1"/>
      <c r="J57" s="30"/>
      <c r="K57" s="42"/>
      <c r="L57" s="7"/>
      <c r="M57" s="7"/>
      <c r="N57" s="7"/>
    </row>
    <row r="58" spans="2:14" ht="12.75">
      <c r="B58" s="1"/>
      <c r="C58" s="4" t="s">
        <v>60</v>
      </c>
      <c r="D58" s="2"/>
      <c r="E58" s="2"/>
      <c r="F58" s="2">
        <v>1340523.8</v>
      </c>
      <c r="G58" s="2">
        <v>936073.8</v>
      </c>
      <c r="H58" s="2">
        <v>404450.1</v>
      </c>
      <c r="I58" s="2">
        <f aca="true" t="shared" si="3" ref="I58:N58">SUM(I51:I57)</f>
        <v>38098.14017869262</v>
      </c>
      <c r="J58" s="31">
        <f t="shared" si="3"/>
        <v>0.7887225833828662</v>
      </c>
      <c r="K58" s="43">
        <f t="shared" si="3"/>
        <v>9524.535044673154</v>
      </c>
      <c r="L58" s="6">
        <f t="shared" si="3"/>
        <v>19049.070089346307</v>
      </c>
      <c r="M58" s="6">
        <f t="shared" si="3"/>
        <v>28573.605134019464</v>
      </c>
      <c r="N58" s="6">
        <f t="shared" si="3"/>
        <v>38098.140178692614</v>
      </c>
    </row>
    <row r="59" spans="2:14" ht="38.25">
      <c r="B59" s="1" t="s">
        <v>95</v>
      </c>
      <c r="C59" s="4" t="s">
        <v>481</v>
      </c>
      <c r="D59" s="2"/>
      <c r="E59" s="2">
        <v>141634.46</v>
      </c>
      <c r="F59" s="2"/>
      <c r="G59" s="2">
        <v>98901.86</v>
      </c>
      <c r="H59" s="2">
        <v>42732.6</v>
      </c>
      <c r="I59" s="1"/>
      <c r="J59" s="1"/>
      <c r="K59" s="1"/>
      <c r="L59" s="7"/>
      <c r="M59" s="7"/>
      <c r="N59" s="7"/>
    </row>
    <row r="60" spans="2:14" ht="38.25">
      <c r="B60" s="1" t="s">
        <v>96</v>
      </c>
      <c r="C60" s="3" t="s">
        <v>163</v>
      </c>
      <c r="D60" s="1" t="s">
        <v>51</v>
      </c>
      <c r="E60" s="1"/>
      <c r="F60" s="1">
        <v>3033160.58</v>
      </c>
      <c r="G60" s="1">
        <v>2118024.3</v>
      </c>
      <c r="H60" s="1">
        <v>915136.3</v>
      </c>
      <c r="I60" s="1">
        <f>H60/H59*C5</f>
        <v>86203.46406233181</v>
      </c>
      <c r="J60" s="30">
        <f>I60/C5/12</f>
        <v>1.784617793753091</v>
      </c>
      <c r="K60" s="42">
        <f>J60*C5*3</f>
        <v>21550.866015582953</v>
      </c>
      <c r="L60" s="7">
        <f>J60*C5*6</f>
        <v>43101.732031165906</v>
      </c>
      <c r="M60" s="7">
        <f>J60*C5*9</f>
        <v>64652.598046748855</v>
      </c>
      <c r="N60" s="7">
        <f>J60*C5*12</f>
        <v>86203.46406233181</v>
      </c>
    </row>
    <row r="61" spans="2:14" ht="63.75">
      <c r="B61" s="1" t="s">
        <v>98</v>
      </c>
      <c r="C61" s="3" t="s">
        <v>298</v>
      </c>
      <c r="D61" s="1" t="s">
        <v>53</v>
      </c>
      <c r="E61" s="1"/>
      <c r="F61" s="1">
        <v>1031274.6</v>
      </c>
      <c r="G61" s="1">
        <v>720128.3</v>
      </c>
      <c r="H61" s="1">
        <v>311146.3</v>
      </c>
      <c r="I61" s="1">
        <f>H61/H59*C5</f>
        <v>29309.173824901834</v>
      </c>
      <c r="J61" s="30">
        <f>I61/C5/12</f>
        <v>0.6067699679713693</v>
      </c>
      <c r="K61" s="42">
        <f>J61*C5*3</f>
        <v>7327.2934562254595</v>
      </c>
      <c r="L61" s="7">
        <f>J61*C5*6</f>
        <v>14654.586912450919</v>
      </c>
      <c r="M61" s="7">
        <f>J61*C5*9</f>
        <v>21981.88036867638</v>
      </c>
      <c r="N61" s="7">
        <f>J61*C5*12</f>
        <v>29309.173824901838</v>
      </c>
    </row>
    <row r="62" spans="2:14" ht="12.75">
      <c r="B62" s="1" t="s">
        <v>100</v>
      </c>
      <c r="C62" s="3" t="s">
        <v>101</v>
      </c>
      <c r="D62" s="1" t="s">
        <v>536</v>
      </c>
      <c r="E62" s="1"/>
      <c r="F62" s="1">
        <v>719534.71</v>
      </c>
      <c r="G62" s="1">
        <v>502443.6</v>
      </c>
      <c r="H62" s="1">
        <v>217091.2</v>
      </c>
      <c r="I62" s="1">
        <f>H62/H59*C5</f>
        <v>20449.427541502275</v>
      </c>
      <c r="J62" s="30">
        <f>I62/C5/12</f>
        <v>0.423352038802538</v>
      </c>
      <c r="K62" s="42">
        <f>J62*C5*3</f>
        <v>5112.35688537557</v>
      </c>
      <c r="L62" s="7">
        <f>J62*C5*6</f>
        <v>10224.71377075114</v>
      </c>
      <c r="M62" s="7">
        <f>J62*C5*9</f>
        <v>15337.070656126709</v>
      </c>
      <c r="N62" s="7">
        <f>J62*C5*12</f>
        <v>20449.42754150228</v>
      </c>
    </row>
    <row r="63" spans="2:14" ht="51">
      <c r="B63" s="1" t="s">
        <v>102</v>
      </c>
      <c r="C63" s="3" t="s">
        <v>344</v>
      </c>
      <c r="D63" s="1"/>
      <c r="E63" s="1"/>
      <c r="F63" s="1"/>
      <c r="G63" s="1"/>
      <c r="H63" s="1"/>
      <c r="I63" s="1"/>
      <c r="J63" s="30"/>
      <c r="K63" s="42"/>
      <c r="L63" s="7"/>
      <c r="M63" s="7"/>
      <c r="N63" s="7"/>
    </row>
    <row r="64" spans="2:14" ht="38.25">
      <c r="B64" s="1" t="s">
        <v>104</v>
      </c>
      <c r="C64" s="4" t="s">
        <v>407</v>
      </c>
      <c r="D64" s="1" t="s">
        <v>71</v>
      </c>
      <c r="E64" s="1"/>
      <c r="F64" s="1"/>
      <c r="G64" s="1"/>
      <c r="H64" s="1"/>
      <c r="I64" s="1"/>
      <c r="J64" s="30"/>
      <c r="K64" s="42"/>
      <c r="L64" s="7"/>
      <c r="M64" s="7"/>
      <c r="N64" s="7"/>
    </row>
    <row r="65" spans="2:14" ht="38.25">
      <c r="B65" s="1" t="s">
        <v>105</v>
      </c>
      <c r="C65" s="3" t="s">
        <v>106</v>
      </c>
      <c r="D65" s="3" t="s">
        <v>107</v>
      </c>
      <c r="E65" s="3" t="s">
        <v>108</v>
      </c>
      <c r="F65" s="1">
        <v>71968.71</v>
      </c>
      <c r="G65" s="1">
        <v>32713.05</v>
      </c>
      <c r="H65" s="1">
        <v>39255.66</v>
      </c>
      <c r="I65" s="1">
        <f>H65/6*C12</f>
        <v>0</v>
      </c>
      <c r="J65" s="30">
        <f>I65/C5/12</f>
        <v>0</v>
      </c>
      <c r="K65" s="42">
        <f>J65*C5*3</f>
        <v>0</v>
      </c>
      <c r="L65" s="7"/>
      <c r="M65" s="7">
        <f>J65*C5*9</f>
        <v>0</v>
      </c>
      <c r="N65" s="7"/>
    </row>
    <row r="66" spans="2:14" ht="12.75">
      <c r="B66" s="1"/>
      <c r="C66" s="4" t="s">
        <v>60</v>
      </c>
      <c r="D66" s="2"/>
      <c r="E66" s="2"/>
      <c r="F66" s="2">
        <v>4855938.6</v>
      </c>
      <c r="G66" s="2">
        <v>3373309.1</v>
      </c>
      <c r="H66" s="2">
        <v>1482629.5</v>
      </c>
      <c r="I66" s="2">
        <f aca="true" t="shared" si="4" ref="I66:N66">SUM(I60:I65)</f>
        <v>135962.06542873592</v>
      </c>
      <c r="J66" s="31">
        <f t="shared" si="4"/>
        <v>2.8147398005269983</v>
      </c>
      <c r="K66" s="43">
        <f t="shared" si="4"/>
        <v>33990.51635718398</v>
      </c>
      <c r="L66" s="6">
        <f t="shared" si="4"/>
        <v>67981.03271436796</v>
      </c>
      <c r="M66" s="6">
        <f t="shared" si="4"/>
        <v>101971.54907155194</v>
      </c>
      <c r="N66" s="6">
        <f t="shared" si="4"/>
        <v>135962.06542873592</v>
      </c>
    </row>
    <row r="67" spans="2:14" ht="12.75">
      <c r="B67" s="1" t="s">
        <v>109</v>
      </c>
      <c r="C67" s="4" t="s">
        <v>482</v>
      </c>
      <c r="D67" s="2"/>
      <c r="E67" s="2">
        <v>141634.46</v>
      </c>
      <c r="F67" s="2"/>
      <c r="G67" s="2">
        <v>98901.86</v>
      </c>
      <c r="H67" s="2">
        <v>42732.6</v>
      </c>
      <c r="I67" s="1"/>
      <c r="J67" s="1"/>
      <c r="K67" s="1"/>
      <c r="L67" s="7"/>
      <c r="M67" s="7"/>
      <c r="N67" s="7"/>
    </row>
    <row r="68" spans="2:14" ht="51">
      <c r="B68" s="1" t="s">
        <v>110</v>
      </c>
      <c r="C68" s="3" t="s">
        <v>483</v>
      </c>
      <c r="D68" s="1" t="s">
        <v>111</v>
      </c>
      <c r="E68" s="1"/>
      <c r="F68" s="1">
        <v>277923.9</v>
      </c>
      <c r="G68" s="1">
        <v>194071.3</v>
      </c>
      <c r="H68" s="1">
        <v>83852.6</v>
      </c>
      <c r="I68" s="1">
        <f>H68/H67*C5</f>
        <v>7898.697265787714</v>
      </c>
      <c r="J68" s="30">
        <f>I68/C5/12</f>
        <v>0.16352191691277077</v>
      </c>
      <c r="K68" s="42">
        <f>J68*C5*3</f>
        <v>1974.6743164469285</v>
      </c>
      <c r="L68" s="7">
        <f>J68*C5*6</f>
        <v>3949.348632893857</v>
      </c>
      <c r="M68" s="7">
        <f>J68*C5*9</f>
        <v>5924.022949340786</v>
      </c>
      <c r="N68" s="7">
        <f>J68*C5*12</f>
        <v>7898.697265787714</v>
      </c>
    </row>
    <row r="69" spans="2:14" ht="12.75">
      <c r="B69" s="1"/>
      <c r="C69" s="3"/>
      <c r="D69" s="1" t="s">
        <v>53</v>
      </c>
      <c r="E69" s="1"/>
      <c r="F69" s="1">
        <v>94494.1</v>
      </c>
      <c r="G69" s="1">
        <v>65984.3</v>
      </c>
      <c r="H69" s="1">
        <v>28509.9</v>
      </c>
      <c r="I69" s="1">
        <f>H69/H67*C5</f>
        <v>2685.5585775262916</v>
      </c>
      <c r="J69" s="30">
        <f>I69/C5/12</f>
        <v>0.05559748295212555</v>
      </c>
      <c r="K69" s="42">
        <f>J69*C5*3</f>
        <v>671.3896443815729</v>
      </c>
      <c r="L69" s="7">
        <f>J69*C5*6</f>
        <v>1342.7792887631458</v>
      </c>
      <c r="M69" s="7">
        <f>J69*C5*9</f>
        <v>2014.168933144719</v>
      </c>
      <c r="N69" s="7">
        <f>J69*C5*12</f>
        <v>2685.5585775262916</v>
      </c>
    </row>
    <row r="70" spans="2:14" ht="12.75">
      <c r="B70" s="1"/>
      <c r="C70" s="3"/>
      <c r="D70" s="1" t="s">
        <v>536</v>
      </c>
      <c r="E70" s="1"/>
      <c r="F70" s="1">
        <v>79948</v>
      </c>
      <c r="G70" s="1">
        <v>55826.9</v>
      </c>
      <c r="H70" s="1">
        <v>24121.1</v>
      </c>
      <c r="I70" s="1">
        <f>H70/H67*C5</f>
        <v>2272.1450094307393</v>
      </c>
      <c r="J70" s="30">
        <f>I70/C5/12</f>
        <v>0.04703883373973656</v>
      </c>
      <c r="K70" s="42">
        <f>J70*C5*3</f>
        <v>568.0362523576847</v>
      </c>
      <c r="L70" s="7">
        <f>J70*C5*6</f>
        <v>1136.0725047153694</v>
      </c>
      <c r="M70" s="7">
        <f>J70*C5*9</f>
        <v>1704.1087570730542</v>
      </c>
      <c r="N70" s="7">
        <f>J70*C5*12</f>
        <v>2272.145009430739</v>
      </c>
    </row>
    <row r="71" spans="2:14" ht="25.5">
      <c r="B71" s="1"/>
      <c r="C71" s="3"/>
      <c r="D71" s="3" t="s">
        <v>112</v>
      </c>
      <c r="E71" s="1"/>
      <c r="F71" s="1">
        <v>882609.2</v>
      </c>
      <c r="G71" s="1">
        <v>344178.5</v>
      </c>
      <c r="H71" s="1">
        <v>538430.8</v>
      </c>
      <c r="I71" s="1">
        <f>H71/H67*C5</f>
        <v>50718.78376789618</v>
      </c>
      <c r="J71" s="30">
        <f>I71/C5/12</f>
        <v>1.050000078004459</v>
      </c>
      <c r="K71" s="42">
        <f>J71*C5*3</f>
        <v>12679.695941974045</v>
      </c>
      <c r="L71" s="7">
        <f>J71*C5*6</f>
        <v>25359.39188394809</v>
      </c>
      <c r="M71" s="7">
        <f>J71*C5*9</f>
        <v>38039.087825922135</v>
      </c>
      <c r="N71" s="7">
        <f>J71*C5*12</f>
        <v>50718.78376789618</v>
      </c>
    </row>
    <row r="72" spans="2:14" ht="12.75">
      <c r="B72" s="1"/>
      <c r="C72" s="3"/>
      <c r="D72" s="1"/>
      <c r="E72" s="1"/>
      <c r="F72" s="1"/>
      <c r="G72" s="1"/>
      <c r="H72" s="1"/>
      <c r="I72" s="1"/>
      <c r="J72" s="30"/>
      <c r="K72" s="42"/>
      <c r="L72" s="7"/>
      <c r="M72" s="7"/>
      <c r="N72" s="7"/>
    </row>
    <row r="73" spans="2:14" ht="12.75">
      <c r="B73" s="1"/>
      <c r="C73" s="4" t="s">
        <v>60</v>
      </c>
      <c r="D73" s="2"/>
      <c r="E73" s="2"/>
      <c r="F73" s="2">
        <v>1334975.3</v>
      </c>
      <c r="G73" s="2">
        <v>660060.9</v>
      </c>
      <c r="H73" s="2">
        <v>674914.3</v>
      </c>
      <c r="I73" s="2">
        <f aca="true" t="shared" si="5" ref="I73:N73">SUM(I68:I72)</f>
        <v>63575.184620640925</v>
      </c>
      <c r="J73" s="31">
        <f t="shared" si="5"/>
        <v>1.3161583116090918</v>
      </c>
      <c r="K73" s="43">
        <f t="shared" si="5"/>
        <v>15893.796155160231</v>
      </c>
      <c r="L73" s="6">
        <f t="shared" si="5"/>
        <v>31787.592310320462</v>
      </c>
      <c r="M73" s="6">
        <f t="shared" si="5"/>
        <v>47681.38846548069</v>
      </c>
      <c r="N73" s="6">
        <f t="shared" si="5"/>
        <v>63575.184620640925</v>
      </c>
    </row>
    <row r="74" spans="2:14" ht="12.75">
      <c r="B74" s="1" t="s">
        <v>113</v>
      </c>
      <c r="C74" s="4" t="s">
        <v>484</v>
      </c>
      <c r="D74" s="2"/>
      <c r="E74" s="2">
        <v>15</v>
      </c>
      <c r="F74" s="2">
        <v>1600212</v>
      </c>
      <c r="G74" s="2"/>
      <c r="H74" s="2">
        <v>1600212</v>
      </c>
      <c r="I74" s="2">
        <f>I75+I76</f>
        <v>146842.94400000002</v>
      </c>
      <c r="J74" s="31">
        <f>J75+J76</f>
        <v>3.0400000000000005</v>
      </c>
      <c r="K74" s="2">
        <f>J74*C5*3</f>
        <v>36710.736000000004</v>
      </c>
      <c r="L74" s="6">
        <f>J74*C5*6</f>
        <v>73421.47200000001</v>
      </c>
      <c r="M74" s="6">
        <f>J74*C5*9</f>
        <v>110132.20800000001</v>
      </c>
      <c r="N74" s="6">
        <f>J74*C5*12</f>
        <v>146842.94400000002</v>
      </c>
    </row>
    <row r="75" spans="2:14" ht="12.75">
      <c r="B75" s="1"/>
      <c r="C75" s="3" t="s">
        <v>114</v>
      </c>
      <c r="D75" s="1"/>
      <c r="E75" s="1"/>
      <c r="F75" s="1">
        <v>1431000</v>
      </c>
      <c r="G75" s="1"/>
      <c r="H75" s="1">
        <v>1431000</v>
      </c>
      <c r="I75" s="1">
        <f>2.79*C5*12</f>
        <v>134767.04400000002</v>
      </c>
      <c r="J75" s="30">
        <f>I75/C5/12</f>
        <v>2.7900000000000005</v>
      </c>
      <c r="K75" s="1">
        <f>J75*C5*3</f>
        <v>33691.76100000001</v>
      </c>
      <c r="L75" s="7">
        <f>J75*C5*6</f>
        <v>67383.52200000003</v>
      </c>
      <c r="M75" s="7">
        <f>J75*C5*9</f>
        <v>101075.28300000002</v>
      </c>
      <c r="N75" s="7">
        <f>J75*C5*12</f>
        <v>134767.04400000005</v>
      </c>
    </row>
    <row r="76" spans="2:14" ht="12.75">
      <c r="B76" s="1"/>
      <c r="C76" s="3" t="s">
        <v>115</v>
      </c>
      <c r="D76" s="1"/>
      <c r="E76" s="1"/>
      <c r="F76" s="1">
        <v>169212</v>
      </c>
      <c r="G76" s="1"/>
      <c r="H76" s="1">
        <v>169212</v>
      </c>
      <c r="I76" s="1">
        <f>0.25*C5*12</f>
        <v>12075.900000000001</v>
      </c>
      <c r="J76" s="30">
        <f>I76/C5/12</f>
        <v>0.25000000000000006</v>
      </c>
      <c r="K76" s="1">
        <f>J76*C5*3</f>
        <v>3018.975000000001</v>
      </c>
      <c r="L76" s="7">
        <f>J76*C5*6</f>
        <v>6037.950000000002</v>
      </c>
      <c r="M76" s="7">
        <f>J76*C5*9</f>
        <v>9056.925000000003</v>
      </c>
      <c r="N76" s="7">
        <f>J76*C5*12</f>
        <v>12075.900000000003</v>
      </c>
    </row>
    <row r="77" spans="2:14" ht="12.75">
      <c r="B77" s="1" t="s">
        <v>116</v>
      </c>
      <c r="C77" s="3" t="s">
        <v>485</v>
      </c>
      <c r="D77" s="1"/>
      <c r="E77" s="1"/>
      <c r="F77" s="1"/>
      <c r="G77" s="1"/>
      <c r="H77" s="1"/>
      <c r="I77" s="1"/>
      <c r="J77" s="1"/>
      <c r="K77" s="1"/>
      <c r="L77" s="7"/>
      <c r="M77" s="7"/>
      <c r="N77" s="7"/>
    </row>
    <row r="78" spans="2:14" ht="12.75">
      <c r="B78" s="1"/>
      <c r="C78" s="3"/>
      <c r="D78" s="1"/>
      <c r="E78" s="1"/>
      <c r="F78" s="1"/>
      <c r="G78" s="1"/>
      <c r="H78" s="1"/>
      <c r="I78" s="1"/>
      <c r="J78" s="1"/>
      <c r="K78" s="1"/>
      <c r="L78" s="7"/>
      <c r="M78" s="7"/>
      <c r="N78" s="7"/>
    </row>
    <row r="79" spans="2:14" ht="12.75">
      <c r="B79" s="2" t="s">
        <v>117</v>
      </c>
      <c r="C79" s="4"/>
      <c r="D79" s="2"/>
      <c r="E79" s="2"/>
      <c r="F79" s="2">
        <v>19547580.6</v>
      </c>
      <c r="G79" s="2">
        <v>11502035</v>
      </c>
      <c r="H79" s="2">
        <v>8045545.6</v>
      </c>
      <c r="I79" s="2">
        <f>I32+I41+I42+I49+I58+I66+I73+I74</f>
        <v>768233.2016352318</v>
      </c>
      <c r="J79" s="31">
        <f>J32+J41+J42+J49+J58+J66+J73+J74</f>
        <v>15.904263898244269</v>
      </c>
      <c r="K79" s="43">
        <f>J79*C5*3</f>
        <v>192058.30040880796</v>
      </c>
      <c r="L79" s="6">
        <f>L32+L41+L42+L49+L58+L66+L73+L74</f>
        <v>384116.6008176159</v>
      </c>
      <c r="M79" s="6">
        <f>M32+M41+M42+M49+M58+M66+M73+M74</f>
        <v>576174.9012264239</v>
      </c>
      <c r="N79" s="6">
        <f>N32+N41+N42+N49+N58+N66+N73+N74</f>
        <v>768233.2016352318</v>
      </c>
    </row>
    <row r="80" spans="2:14" ht="12.75">
      <c r="B80" s="1"/>
      <c r="C80" s="3" t="s">
        <v>118</v>
      </c>
      <c r="D80" s="1"/>
      <c r="E80" s="1"/>
      <c r="F80" s="1">
        <v>1724360</v>
      </c>
      <c r="G80" s="1">
        <v>1204102.5</v>
      </c>
      <c r="H80" s="1">
        <v>520257.5</v>
      </c>
      <c r="I80" s="1">
        <f>H80/H79*I79</f>
        <v>49677.06415084412</v>
      </c>
      <c r="J80" s="30">
        <f>I80/C5/12</f>
        <v>1.0284339914798093</v>
      </c>
      <c r="K80" s="42">
        <f>J80*C5*3</f>
        <v>12419.26603771103</v>
      </c>
      <c r="L80" s="7">
        <f>J80*C5*6</f>
        <v>24838.53207542206</v>
      </c>
      <c r="M80" s="7">
        <f>J80*C5*9</f>
        <v>37257.79811313309</v>
      </c>
      <c r="N80" s="7">
        <f>J80*C5*12</f>
        <v>49677.06415084412</v>
      </c>
    </row>
    <row r="81" spans="2:14" ht="25.5">
      <c r="B81" s="1"/>
      <c r="C81" s="3" t="s">
        <v>119</v>
      </c>
      <c r="D81" s="1"/>
      <c r="E81" s="1"/>
      <c r="F81" s="1">
        <v>5396925.11</v>
      </c>
      <c r="G81" s="1">
        <v>3223686.7</v>
      </c>
      <c r="H81" s="1">
        <v>2173238.4</v>
      </c>
      <c r="I81" s="1">
        <f>H81/(H79+H80)*(I79+I80)</f>
        <v>207512.82472982674</v>
      </c>
      <c r="J81" s="30">
        <f>I81/C5/12</f>
        <v>4.2960115753241315</v>
      </c>
      <c r="K81" s="42">
        <f>C5*3</f>
        <v>12075.900000000001</v>
      </c>
      <c r="L81" s="7">
        <f>J81*C5*6</f>
        <v>103756.41236491335</v>
      </c>
      <c r="M81" s="7">
        <f>J81*C5*9</f>
        <v>155634.61854737005</v>
      </c>
      <c r="N81" s="7">
        <f>J81*C5*12</f>
        <v>207512.8247298267</v>
      </c>
    </row>
    <row r="82" spans="2:14" ht="12.75">
      <c r="B82" s="2" t="s">
        <v>590</v>
      </c>
      <c r="C82" s="4"/>
      <c r="D82" s="2"/>
      <c r="E82" s="2"/>
      <c r="F82" s="2">
        <v>26668865.67</v>
      </c>
      <c r="G82" s="2">
        <v>15929824.3</v>
      </c>
      <c r="H82" s="2">
        <v>10739041.4</v>
      </c>
      <c r="I82" s="2">
        <f>I79+I80+I81</f>
        <v>1025423.0905159027</v>
      </c>
      <c r="J82" s="31">
        <f>J79+J80+J81</f>
        <v>21.22870946504821</v>
      </c>
      <c r="K82" s="43">
        <f>J82*C5*3</f>
        <v>256355.77262897568</v>
      </c>
      <c r="L82" s="6">
        <f>SUM(L79:L81)</f>
        <v>512711.54525795137</v>
      </c>
      <c r="M82" s="6">
        <f>SUM(M79:M81)</f>
        <v>769067.317886927</v>
      </c>
      <c r="N82" s="6">
        <f>SUM(N79:N81)</f>
        <v>1025423.0905159027</v>
      </c>
    </row>
    <row r="83" spans="2:14" ht="12.75">
      <c r="B83" s="1" t="s">
        <v>120</v>
      </c>
      <c r="C83" s="3"/>
      <c r="D83" s="1"/>
      <c r="E83" s="1"/>
      <c r="F83" s="1">
        <v>1333443.28</v>
      </c>
      <c r="G83" s="1">
        <v>796491.2</v>
      </c>
      <c r="H83" s="1">
        <v>536952.07</v>
      </c>
      <c r="I83" s="1"/>
      <c r="J83" s="30"/>
      <c r="K83" s="42">
        <f>J83*C5*3</f>
        <v>0</v>
      </c>
      <c r="L83" s="7"/>
      <c r="M83" s="7"/>
      <c r="N83" s="7"/>
    </row>
    <row r="84" spans="2:14" ht="12.75">
      <c r="B84" s="1"/>
      <c r="C84" s="4" t="s">
        <v>121</v>
      </c>
      <c r="D84" s="2"/>
      <c r="E84" s="2"/>
      <c r="F84" s="2">
        <v>28002308.95</v>
      </c>
      <c r="G84" s="2">
        <v>16726315.5</v>
      </c>
      <c r="H84" s="2">
        <v>11275993.5</v>
      </c>
      <c r="I84" s="2">
        <f>I82+I83</f>
        <v>1025423.0905159027</v>
      </c>
      <c r="J84" s="31">
        <f>J82+J83</f>
        <v>21.22870946504821</v>
      </c>
      <c r="K84" s="2">
        <f>J84*C5*3</f>
        <v>256355.77262897568</v>
      </c>
      <c r="L84" s="6">
        <f>L82+L83</f>
        <v>512711.54525795137</v>
      </c>
      <c r="M84" s="6">
        <f>M82+M83</f>
        <v>769067.317886927</v>
      </c>
      <c r="N84" s="6">
        <f>N82+N83</f>
        <v>1025423.0905159027</v>
      </c>
    </row>
    <row r="85" spans="2:14" ht="12.75">
      <c r="B85" s="1"/>
      <c r="C85" s="4" t="s">
        <v>193</v>
      </c>
      <c r="D85" s="2"/>
      <c r="E85" s="2"/>
      <c r="F85" s="2"/>
      <c r="G85" s="2"/>
      <c r="H85" s="2"/>
      <c r="I85" s="2"/>
      <c r="J85" s="2"/>
      <c r="K85" s="2"/>
      <c r="L85" s="6"/>
      <c r="M85" s="6">
        <v>9184.92</v>
      </c>
      <c r="N85" s="2">
        <v>9184.92</v>
      </c>
    </row>
    <row r="86" spans="2:14" ht="12.75">
      <c r="B86" s="1"/>
      <c r="C86" s="1" t="s">
        <v>514</v>
      </c>
      <c r="D86" s="1"/>
      <c r="E86" s="1"/>
      <c r="F86" s="1"/>
      <c r="G86" s="1"/>
      <c r="H86" s="1"/>
      <c r="I86" s="1"/>
      <c r="J86" s="1">
        <v>21.06</v>
      </c>
      <c r="K86" s="1"/>
      <c r="L86" s="7"/>
      <c r="M86" s="7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>
        <v>2.79</v>
      </c>
      <c r="K87" s="1"/>
      <c r="L87" s="1"/>
      <c r="M87" s="7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2" t="s">
        <v>231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 t="s">
        <v>219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220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2" t="s">
        <v>221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232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 t="s">
        <v>219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220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2" t="s">
        <v>221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233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 t="s">
        <v>219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220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</sheetData>
  <mergeCells count="16">
    <mergeCell ref="B13:B17"/>
    <mergeCell ref="C13:C17"/>
    <mergeCell ref="D13:D17"/>
    <mergeCell ref="E13:E17"/>
    <mergeCell ref="F13:F17"/>
    <mergeCell ref="G13:H13"/>
    <mergeCell ref="I13:J13"/>
    <mergeCell ref="G14:G17"/>
    <mergeCell ref="H14:H17"/>
    <mergeCell ref="I14:I17"/>
    <mergeCell ref="J14:J17"/>
    <mergeCell ref="K13:N13"/>
    <mergeCell ref="K14:K17"/>
    <mergeCell ref="L14:L17"/>
    <mergeCell ref="M14:M17"/>
    <mergeCell ref="N14:N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4">
      <pane xSplit="1" ySplit="15" topLeftCell="B58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P66" sqref="P65:P66"/>
    </sheetView>
  </sheetViews>
  <sheetFormatPr defaultColWidth="9.140625" defaultRowHeight="12.75"/>
  <cols>
    <col min="3" max="3" width="38.421875" style="0" customWidth="1"/>
    <col min="4" max="4" width="14.00390625" style="0" hidden="1" customWidth="1"/>
    <col min="5" max="5" width="17.57421875" style="0" hidden="1" customWidth="1"/>
    <col min="6" max="6" width="15.57421875" style="0" hidden="1" customWidth="1"/>
    <col min="7" max="7" width="13.7109375" style="0" hidden="1" customWidth="1"/>
    <col min="8" max="8" width="14.7109375" style="0" hidden="1" customWidth="1"/>
    <col min="9" max="9" width="12.57421875" style="0" hidden="1" customWidth="1"/>
    <col min="10" max="10" width="11.28125" style="0" hidden="1" customWidth="1"/>
    <col min="11" max="11" width="14.28125" style="0" hidden="1" customWidth="1"/>
    <col min="12" max="12" width="13.57421875" style="0" customWidth="1"/>
    <col min="13" max="13" width="11.140625" style="0" customWidth="1"/>
    <col min="14" max="14" width="11.421875" style="0" customWidth="1"/>
    <col min="15" max="16" width="12.28125" style="0" customWidth="1"/>
    <col min="17" max="17" width="11.28125" style="0" customWidth="1"/>
    <col min="18" max="18" width="14.00390625" style="0" customWidth="1"/>
  </cols>
  <sheetData>
    <row r="4" spans="2:3" ht="12.75">
      <c r="B4" s="5" t="s">
        <v>487</v>
      </c>
      <c r="C4" s="5" t="s">
        <v>509</v>
      </c>
    </row>
    <row r="5" spans="2:3" ht="12.75">
      <c r="B5" t="s">
        <v>488</v>
      </c>
      <c r="C5">
        <v>3128.1</v>
      </c>
    </row>
    <row r="6" spans="2:3" ht="12.75">
      <c r="B6" t="s">
        <v>489</v>
      </c>
      <c r="C6">
        <v>2516</v>
      </c>
    </row>
    <row r="7" spans="2:3" ht="12.75">
      <c r="B7" t="s">
        <v>490</v>
      </c>
      <c r="C7">
        <v>657</v>
      </c>
    </row>
    <row r="8" spans="2:3" ht="12.75">
      <c r="B8" t="s">
        <v>491</v>
      </c>
      <c r="C8">
        <v>396.2</v>
      </c>
    </row>
    <row r="9" spans="2:3" ht="12.75">
      <c r="B9" t="s">
        <v>492</v>
      </c>
      <c r="C9">
        <v>4</v>
      </c>
    </row>
    <row r="10" spans="2:3" ht="12.75">
      <c r="B10" t="s">
        <v>493</v>
      </c>
      <c r="C10">
        <v>60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38320.464586436254</v>
      </c>
      <c r="J27" s="30">
        <f>I27/C5/12</f>
        <v>1.020866356212937</v>
      </c>
      <c r="K27" s="42">
        <f>J27*C5*3</f>
        <v>9580.116146609063</v>
      </c>
      <c r="L27" s="7">
        <f>J27*C5*6</f>
        <v>19160.232293218127</v>
      </c>
      <c r="M27" s="1">
        <f>J27*C5*9</f>
        <v>28740.348439827194</v>
      </c>
      <c r="N27" s="1">
        <f>J27*C5*12</f>
        <v>38320.464586436254</v>
      </c>
    </row>
    <row r="28" spans="2:14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13028.956933124877</v>
      </c>
      <c r="J28" s="30">
        <f>I28/C5/12</f>
        <v>0.34709453377249444</v>
      </c>
      <c r="K28" s="42">
        <f>J28*C5*3</f>
        <v>3257.2392332812196</v>
      </c>
      <c r="L28" s="7">
        <f>J28*C5*6</f>
        <v>6514.478466562439</v>
      </c>
      <c r="M28" s="1">
        <f>J28*C5*9</f>
        <v>9771.717699843659</v>
      </c>
      <c r="N28" s="1">
        <f>J28*C5*12</f>
        <v>13028.956933124879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2604.572332257139</v>
      </c>
      <c r="J29" s="30">
        <f>I29/C5/12</f>
        <v>0.06938643085411643</v>
      </c>
      <c r="K29" s="42">
        <f>J29*C5*3</f>
        <v>651.1430830642848</v>
      </c>
      <c r="L29" s="7">
        <f>J29*C5*6</f>
        <v>1302.2861661285697</v>
      </c>
      <c r="M29" s="1">
        <f>J29*C5*9</f>
        <v>1953.4292491928545</v>
      </c>
      <c r="N29" s="1">
        <f>J29*C5*12</f>
        <v>2604.5723322571394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7"/>
      <c r="M30" s="1"/>
      <c r="N30" s="1"/>
    </row>
    <row r="31" spans="2:14" ht="38.2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53953.99385181827</v>
      </c>
      <c r="J33" s="31">
        <f t="shared" si="0"/>
        <v>1.4373473208395477</v>
      </c>
      <c r="K33" s="43">
        <f t="shared" si="0"/>
        <v>13488.498462954569</v>
      </c>
      <c r="L33" s="6">
        <f t="shared" si="0"/>
        <v>26976.996925909138</v>
      </c>
      <c r="M33" s="2">
        <f t="shared" si="0"/>
        <v>40465.49538886371</v>
      </c>
      <c r="N33" s="2">
        <f t="shared" si="0"/>
        <v>53953.993851818275</v>
      </c>
    </row>
    <row r="34" spans="2:14" ht="38.25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12.7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23268.58164978654</v>
      </c>
      <c r="J35" s="30">
        <f>I35/C5/12</f>
        <v>0.6198805891165708</v>
      </c>
      <c r="K35" s="42">
        <f>J35*C5*3</f>
        <v>5817.145412446635</v>
      </c>
      <c r="L35" s="7">
        <f>J35*C5*6</f>
        <v>11634.29082489327</v>
      </c>
      <c r="M35" s="1">
        <f>J35*C5*9</f>
        <v>17451.436237339905</v>
      </c>
      <c r="N35" s="1">
        <f>J35*C5*12</f>
        <v>23268.58164978654</v>
      </c>
    </row>
    <row r="36" spans="2:14" ht="12.75">
      <c r="B36" s="1" t="s">
        <v>63</v>
      </c>
      <c r="C36" s="3" t="s">
        <v>64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7911.318651580455</v>
      </c>
      <c r="J36" s="30">
        <f>I36/C5/12</f>
        <v>0.21075942402684414</v>
      </c>
      <c r="K36" s="42">
        <f>J36*C5*3</f>
        <v>1977.8296628951134</v>
      </c>
      <c r="L36" s="7">
        <f>J36*C5*6</f>
        <v>3955.659325790227</v>
      </c>
      <c r="M36" s="1">
        <f>J36*C5*9</f>
        <v>5933.48898868534</v>
      </c>
      <c r="N36" s="1">
        <f>J36*C5*12</f>
        <v>7911.318651580454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3297.0112891413464</v>
      </c>
      <c r="J37" s="30">
        <f>I37/C5/12</f>
        <v>0.08783317053859496</v>
      </c>
      <c r="K37" s="42">
        <f>J37*C5*3</f>
        <v>824.2528222853367</v>
      </c>
      <c r="L37" s="7">
        <f>J37*C5*6</f>
        <v>1648.5056445706734</v>
      </c>
      <c r="M37" s="1">
        <f>J37*C5*9</f>
        <v>2472.7584668560103</v>
      </c>
      <c r="N37" s="1">
        <f>J37*C5*12</f>
        <v>3297.011289141347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1575.1887065206017</v>
      </c>
      <c r="J38" s="30">
        <f>I38/C5/12</f>
        <v>0.04196340447664188</v>
      </c>
      <c r="K38" s="42">
        <f>J38*C5*3</f>
        <v>393.7971766301504</v>
      </c>
      <c r="L38" s="7">
        <f>J38*C5*6</f>
        <v>787.5943532603007</v>
      </c>
      <c r="M38" s="1">
        <f>J38*C5*9</f>
        <v>1181.3915298904512</v>
      </c>
      <c r="N38" s="1">
        <f>J38*C5*12</f>
        <v>1575.1887065206015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673.6137033216563</v>
      </c>
      <c r="J41" s="30">
        <f>I41/C5/12</f>
        <v>0.017945230420000863</v>
      </c>
      <c r="K41" s="42">
        <f>J41*C5*3</f>
        <v>168.4034258304141</v>
      </c>
      <c r="L41" s="7">
        <f>J41*C5*6</f>
        <v>336.8068516608282</v>
      </c>
      <c r="M41" s="1">
        <f>J41*C5*9</f>
        <v>505.2102774912423</v>
      </c>
      <c r="N41" s="1">
        <f>J41*C5*12</f>
        <v>673.6137033216564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36725.71400035061</v>
      </c>
      <c r="J42" s="31">
        <f t="shared" si="1"/>
        <v>0.9783818185786527</v>
      </c>
      <c r="K42" s="43">
        <f t="shared" si="1"/>
        <v>9181.42850008765</v>
      </c>
      <c r="L42" s="6">
        <f t="shared" si="1"/>
        <v>18362.8570001753</v>
      </c>
      <c r="M42" s="2">
        <f t="shared" si="1"/>
        <v>27544.285500262948</v>
      </c>
      <c r="N42" s="2">
        <f t="shared" si="1"/>
        <v>36725.7140003506</v>
      </c>
    </row>
    <row r="43" spans="2:14" ht="12.7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112236.2268360777</v>
      </c>
      <c r="J43" s="31">
        <f>I43/C5/12</f>
        <v>2.9899999689928314</v>
      </c>
      <c r="K43" s="43">
        <f>J43*C5*3</f>
        <v>28059.056709019427</v>
      </c>
      <c r="L43" s="6">
        <f>J43*C5*6</f>
        <v>56118.113418038854</v>
      </c>
      <c r="M43" s="2">
        <f>J43*C5*9</f>
        <v>84177.17012705829</v>
      </c>
      <c r="N43" s="50">
        <f>J43*C5*12</f>
        <v>112236.22683607771</v>
      </c>
    </row>
    <row r="44" spans="2:14" ht="25.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89.25">
      <c r="B45" s="1" t="s">
        <v>76</v>
      </c>
      <c r="C45" s="3" t="s">
        <v>197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12326.882804731884</v>
      </c>
      <c r="J45" s="30">
        <f>I45/C5/12</f>
        <v>0.3283911108109258</v>
      </c>
      <c r="K45" s="42">
        <f>J45*C5*3</f>
        <v>3081.7207011829705</v>
      </c>
      <c r="L45" s="7">
        <f>J45*C5*6</f>
        <v>6163.441402365941</v>
      </c>
      <c r="M45" s="1">
        <f>J45*C5*9</f>
        <v>9245.162103548912</v>
      </c>
      <c r="N45" s="1">
        <f>J45*C5*12</f>
        <v>12326.882804731882</v>
      </c>
    </row>
    <row r="46" spans="2:14" ht="63.75">
      <c r="B46" s="1" t="s">
        <v>78</v>
      </c>
      <c r="C46" s="4" t="s">
        <v>442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4191.132373041316</v>
      </c>
      <c r="J46" s="30">
        <f>I46/C5/12</f>
        <v>0.11165277039953209</v>
      </c>
      <c r="K46" s="42">
        <f>J46*C5*3</f>
        <v>1047.783093260329</v>
      </c>
      <c r="L46" s="7">
        <f>J46*C5*6</f>
        <v>2095.566186520658</v>
      </c>
      <c r="M46" s="1">
        <f>J46*C5*9</f>
        <v>3143.3492797809868</v>
      </c>
      <c r="N46" s="1">
        <f>J46*C5*12</f>
        <v>4191.132373041316</v>
      </c>
    </row>
    <row r="47" spans="2:14" ht="89.2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2462.8279506573485</v>
      </c>
      <c r="J47" s="30">
        <f>I47/C5/12</f>
        <v>0.06561032657356831</v>
      </c>
      <c r="K47" s="42">
        <f>J47*C5*3</f>
        <v>615.706987664337</v>
      </c>
      <c r="L47" s="7">
        <f>J47*C5*6</f>
        <v>1231.413975328674</v>
      </c>
      <c r="M47" s="1">
        <f>J47*C5*9</f>
        <v>1847.1209629930113</v>
      </c>
      <c r="N47" s="1">
        <f>J47*C5*12</f>
        <v>2462.827950657348</v>
      </c>
    </row>
    <row r="48" spans="2:14" ht="25.5">
      <c r="B48" s="1"/>
      <c r="C48" s="4" t="s">
        <v>282</v>
      </c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4" t="s">
        <v>258</v>
      </c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18980.843128430548</v>
      </c>
      <c r="J50" s="31">
        <f t="shared" si="2"/>
        <v>0.5056542077840263</v>
      </c>
      <c r="K50" s="43">
        <f t="shared" si="2"/>
        <v>4745.210782107637</v>
      </c>
      <c r="L50" s="6">
        <f t="shared" si="2"/>
        <v>9490.421564215274</v>
      </c>
      <c r="M50" s="2">
        <f t="shared" si="2"/>
        <v>14235.63234632291</v>
      </c>
      <c r="N50" s="2">
        <f t="shared" si="2"/>
        <v>18980.843128430548</v>
      </c>
    </row>
    <row r="51" spans="2:14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12.75">
      <c r="B52" s="1" t="s">
        <v>82</v>
      </c>
      <c r="C52" s="3" t="s">
        <v>443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14742.638321867758</v>
      </c>
      <c r="J52" s="30">
        <f>I52/C5/12</f>
        <v>0.3927474164793261</v>
      </c>
      <c r="K52" s="42">
        <f>J52*C5*3</f>
        <v>3685.65958046694</v>
      </c>
      <c r="L52" s="7">
        <f>J52*C5*6</f>
        <v>7371.31916093388</v>
      </c>
      <c r="M52" s="1">
        <f>J52*C5*9</f>
        <v>11056.97874140082</v>
      </c>
      <c r="N52" s="1">
        <f>J52*C5*12</f>
        <v>14742.63832186776</v>
      </c>
    </row>
    <row r="53" spans="2:14" ht="38.25">
      <c r="B53" s="1" t="s">
        <v>84</v>
      </c>
      <c r="C53" s="3" t="s">
        <v>85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5012.497788514796</v>
      </c>
      <c r="J53" s="30">
        <f>I53/C5/12</f>
        <v>0.13353414182503748</v>
      </c>
      <c r="K53" s="42">
        <f>J53*C5*3</f>
        <v>1253.124447128699</v>
      </c>
      <c r="L53" s="7">
        <f>J53*C5*6</f>
        <v>2506.248894257398</v>
      </c>
      <c r="M53" s="1">
        <f>J53*C5*9</f>
        <v>3759.3733413860973</v>
      </c>
      <c r="N53" s="1">
        <f>J53*C5*12</f>
        <v>5012.497788514796</v>
      </c>
    </row>
    <row r="54" spans="2:14" ht="51">
      <c r="B54" s="1" t="s">
        <v>86</v>
      </c>
      <c r="C54" s="3" t="s">
        <v>87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9851.308639797067</v>
      </c>
      <c r="J54" s="30">
        <f>I54/C5/12</f>
        <v>0.2624412220356624</v>
      </c>
      <c r="K54" s="42">
        <f>J54*C5*3</f>
        <v>2462.8271599492664</v>
      </c>
      <c r="L54" s="7">
        <f>J54*C5*6</f>
        <v>4925.654319898533</v>
      </c>
      <c r="M54" s="1">
        <f>J54*C5*9</f>
        <v>7388.481479847799</v>
      </c>
      <c r="N54" s="1">
        <f>J54*C5*12</f>
        <v>9851.308639797066</v>
      </c>
    </row>
    <row r="55" spans="2:14" ht="25.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38.2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63.7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4" t="s">
        <v>182</v>
      </c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29606.444750179624</v>
      </c>
      <c r="J59" s="31">
        <f t="shared" si="3"/>
        <v>0.7887227803400261</v>
      </c>
      <c r="K59" s="43">
        <f t="shared" si="3"/>
        <v>7401.611187544905</v>
      </c>
      <c r="L59" s="6">
        <f t="shared" si="3"/>
        <v>14803.22237508981</v>
      </c>
      <c r="M59" s="2">
        <f t="shared" si="3"/>
        <v>22204.833562634718</v>
      </c>
      <c r="N59" s="2">
        <f t="shared" si="3"/>
        <v>29606.44475017962</v>
      </c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25.5">
      <c r="B61" s="1" t="s">
        <v>96</v>
      </c>
      <c r="C61" s="3" t="s">
        <v>97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66989.55725231051</v>
      </c>
      <c r="J61" s="30">
        <f>I61/C5/12</f>
        <v>1.7846178524852814</v>
      </c>
      <c r="K61" s="42">
        <f>J61*C5*3</f>
        <v>16747.389313077627</v>
      </c>
      <c r="L61" s="7">
        <f>J61*C5*6</f>
        <v>33494.778626155254</v>
      </c>
      <c r="M61" s="1">
        <f>J61*C5*9</f>
        <v>50242.16793923288</v>
      </c>
      <c r="N61" s="1">
        <f>J61*C5*12</f>
        <v>66989.55725231051</v>
      </c>
    </row>
    <row r="62" spans="2:14" ht="25.5">
      <c r="B62" s="1" t="s">
        <v>98</v>
      </c>
      <c r="C62" s="3" t="s">
        <v>216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22776.450667661862</v>
      </c>
      <c r="J62" s="30">
        <f>I62/C5/12</f>
        <v>0.606770101863268</v>
      </c>
      <c r="K62" s="42">
        <f>J62*C5*3</f>
        <v>5694.1126669154655</v>
      </c>
      <c r="L62" s="7">
        <f>J62*C5*6</f>
        <v>11388.225333830931</v>
      </c>
      <c r="M62" s="1">
        <f>J62*C5*9</f>
        <v>17082.338000746397</v>
      </c>
      <c r="N62" s="1">
        <f>J62*C5*12</f>
        <v>22776.450667661862</v>
      </c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15891.448605314397</v>
      </c>
      <c r="J63" s="30">
        <f>I63/C5/12</f>
        <v>0.4233519976267382</v>
      </c>
      <c r="K63" s="42">
        <f>J63*C5*3</f>
        <v>3972.862151328599</v>
      </c>
      <c r="L63" s="7">
        <f>J63*C5*6</f>
        <v>7945.724302657198</v>
      </c>
      <c r="M63" s="1">
        <f>J63*C5*9</f>
        <v>11918.586453985798</v>
      </c>
      <c r="N63" s="1">
        <f>J63*C5*12</f>
        <v>15891.448605314396</v>
      </c>
    </row>
    <row r="64" spans="2:14" ht="25.5">
      <c r="B64" s="1" t="s">
        <v>102</v>
      </c>
      <c r="C64" s="3" t="s">
        <v>158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51">
      <c r="B65" s="1" t="s">
        <v>104</v>
      </c>
      <c r="C65" s="4" t="s">
        <v>406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38.25">
      <c r="B66" s="1" t="s">
        <v>105</v>
      </c>
      <c r="C66" s="3" t="s">
        <v>106</v>
      </c>
      <c r="D66" s="1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105657.45652528676</v>
      </c>
      <c r="J67" s="31">
        <f t="shared" si="4"/>
        <v>2.814739951975288</v>
      </c>
      <c r="K67" s="43">
        <f t="shared" si="4"/>
        <v>26414.36413132169</v>
      </c>
      <c r="L67" s="6">
        <f t="shared" si="4"/>
        <v>52828.72826264338</v>
      </c>
      <c r="M67" s="2">
        <f t="shared" si="4"/>
        <v>79243.09239396508</v>
      </c>
      <c r="N67" s="2">
        <f t="shared" si="4"/>
        <v>105657.45652528676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51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6138.1498136637665</v>
      </c>
      <c r="J69" s="30">
        <f>I69/C5/12</f>
        <v>0.1635217814238613</v>
      </c>
      <c r="K69" s="42">
        <f>J69*C5*3</f>
        <v>1534.5374534159416</v>
      </c>
      <c r="L69" s="7">
        <f>J69*C5*6</f>
        <v>3069.0749068318833</v>
      </c>
      <c r="M69" s="1">
        <f>J69*C5*9</f>
        <v>4603.612360247825</v>
      </c>
      <c r="N69" s="1">
        <f>J69*C5*12</f>
        <v>6138.1498136637665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2086.9727710884304</v>
      </c>
      <c r="J70" s="30">
        <f>I70/C5/12</f>
        <v>0.05559745455410714</v>
      </c>
      <c r="K70" s="42">
        <f>J70*C5*3</f>
        <v>521.7431927721077</v>
      </c>
      <c r="L70" s="7">
        <f>J70*C5*6</f>
        <v>1043.4863855442154</v>
      </c>
      <c r="M70" s="1">
        <f>J70*C5*9</f>
        <v>1565.2295783163229</v>
      </c>
      <c r="N70" s="1">
        <f>J70*C5*12</f>
        <v>2086.972771088431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1765.7112403143883</v>
      </c>
      <c r="J71" s="30">
        <f>I71/C5/12</f>
        <v>0.04703897041639729</v>
      </c>
      <c r="K71" s="42">
        <f>J71*C5*3</f>
        <v>441.4278100785971</v>
      </c>
      <c r="L71" s="7">
        <f>J71*C5*6</f>
        <v>882.8556201571942</v>
      </c>
      <c r="M71" s="1">
        <f>J71*C5*9</f>
        <v>1324.2834302357912</v>
      </c>
      <c r="N71" s="1">
        <f>J71*C5*12</f>
        <v>1765.7112403143883</v>
      </c>
    </row>
    <row r="72" spans="2:14" ht="12.75">
      <c r="B72" s="1"/>
      <c r="C72" s="3"/>
      <c r="D72" s="1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10885.788860290393</v>
      </c>
      <c r="J72" s="30">
        <f>I72/C5/12</f>
        <v>0.29000002291834215</v>
      </c>
      <c r="K72" s="42">
        <f>J72*C5*3</f>
        <v>2721.4472150725983</v>
      </c>
      <c r="L72" s="7">
        <f>J72*C5*6</f>
        <v>5442.894430145197</v>
      </c>
      <c r="M72" s="1">
        <f>J72*C5*9</f>
        <v>8164.341645217795</v>
      </c>
      <c r="N72" s="1">
        <f>J72*C5*12</f>
        <v>10885.788860290393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20876.622685356975</v>
      </c>
      <c r="J74" s="31">
        <f t="shared" si="5"/>
        <v>0.5561582293127079</v>
      </c>
      <c r="K74" s="43">
        <f t="shared" si="5"/>
        <v>5219.155671339244</v>
      </c>
      <c r="L74" s="6">
        <f t="shared" si="5"/>
        <v>10438.311342678488</v>
      </c>
      <c r="M74" s="2">
        <f t="shared" si="5"/>
        <v>15657.467014017733</v>
      </c>
      <c r="N74" s="2">
        <f t="shared" si="5"/>
        <v>20876.622685356975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378037.3017775005</v>
      </c>
      <c r="J80" s="31">
        <f>J33+J42+J43+J50+J59+J67+J74</f>
        <v>10.07100427782308</v>
      </c>
      <c r="K80" s="43">
        <f>J80*C5*3</f>
        <v>94509.32544437514</v>
      </c>
      <c r="L80" s="6">
        <f>L33+L42+L43+L50+L59+L67+L74</f>
        <v>189018.65088875024</v>
      </c>
      <c r="M80" s="2">
        <f>M33+M42+M43+M50+M59+M67+M74</f>
        <v>283527.9763331254</v>
      </c>
      <c r="N80" s="2">
        <f>N33+N42+N43+N50+N59+N67+N74</f>
        <v>378037.3017775005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39575.22822383542</v>
      </c>
      <c r="J81" s="30">
        <f>I81/C5/12</f>
        <v>1.0542935600906678</v>
      </c>
      <c r="K81" s="42">
        <f>J81*C5*3</f>
        <v>9893.807055958852</v>
      </c>
      <c r="L81" s="7">
        <f>J81*C5*6</f>
        <v>19787.614111917705</v>
      </c>
      <c r="M81" s="1">
        <f>J81*C5*9</f>
        <v>29681.42116787656</v>
      </c>
      <c r="N81" s="1">
        <f>J81*C5*12</f>
        <v>39575.22822383541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105952.88762762545</v>
      </c>
      <c r="J82" s="30">
        <f>I82/C5/12</f>
        <v>2.8226103073118254</v>
      </c>
      <c r="K82" s="42">
        <f>J82*C5*3</f>
        <v>26488.221906906365</v>
      </c>
      <c r="L82" s="7">
        <f>J82*C5*6</f>
        <v>52976.44381381273</v>
      </c>
      <c r="M82" s="1">
        <f>J82*C5*9</f>
        <v>79464.66572071909</v>
      </c>
      <c r="N82" s="1">
        <f>J82*C5*12</f>
        <v>105952.88762762546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523565.4176289613</v>
      </c>
      <c r="J83" s="31">
        <f>J80+J81+J82</f>
        <v>13.947908145225574</v>
      </c>
      <c r="K83" s="43">
        <f>J83*C5*3</f>
        <v>130891.35440724035</v>
      </c>
      <c r="L83" s="6">
        <f>SUM(L80:L82)</f>
        <v>261782.7088144807</v>
      </c>
      <c r="M83" s="2">
        <f>SUM(M80:M82)</f>
        <v>392674.06322172104</v>
      </c>
      <c r="N83" s="2">
        <f>SUM(N80:N82)</f>
        <v>523565.4176289614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26178.270388443172</v>
      </c>
      <c r="J84" s="30">
        <f>I84/C5/12</f>
        <v>0.6973953941275101</v>
      </c>
      <c r="K84" s="42">
        <f>J84*C5*3</f>
        <v>6544.567597110793</v>
      </c>
      <c r="L84" s="7">
        <f>J84*C5*6</f>
        <v>13089.135194221586</v>
      </c>
      <c r="M84" s="1"/>
      <c r="N84" s="1"/>
    </row>
    <row r="85" spans="2:14" ht="12.7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549743.6880174045</v>
      </c>
      <c r="J85" s="31">
        <f>J83+J84</f>
        <v>14.645303539353083</v>
      </c>
      <c r="K85" s="43">
        <f>J85*C5*3</f>
        <v>137435.92200435113</v>
      </c>
      <c r="L85" s="6">
        <f>SUM(L83:L84)</f>
        <v>274871.84400870226</v>
      </c>
      <c r="M85" s="2">
        <f>M83+M84</f>
        <v>392674.06322172104</v>
      </c>
      <c r="N85" s="2">
        <f>N83+N84</f>
        <v>523565.4176289614</v>
      </c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>
        <v>9184.92</v>
      </c>
      <c r="M86" s="2">
        <v>9184.92</v>
      </c>
      <c r="N86" s="2">
        <v>9184.92</v>
      </c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15.5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N102"/>
  <sheetViews>
    <sheetView workbookViewId="0" topLeftCell="A4">
      <pane xSplit="1" ySplit="15" topLeftCell="B56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R61" sqref="R60:R61"/>
    </sheetView>
  </sheetViews>
  <sheetFormatPr defaultColWidth="9.140625" defaultRowHeight="12.75"/>
  <cols>
    <col min="3" max="3" width="37.8515625" style="0" customWidth="1"/>
    <col min="4" max="4" width="13.8515625" style="0" hidden="1" customWidth="1"/>
    <col min="5" max="6" width="16.421875" style="0" hidden="1" customWidth="1"/>
    <col min="7" max="7" width="13.8515625" style="0" hidden="1" customWidth="1"/>
    <col min="8" max="8" width="15.140625" style="0" hidden="1" customWidth="1"/>
    <col min="9" max="9" width="11.57421875" style="0" hidden="1" customWidth="1"/>
    <col min="10" max="10" width="11.28125" style="0" hidden="1" customWidth="1"/>
    <col min="11" max="11" width="14.28125" style="0" hidden="1" customWidth="1"/>
    <col min="12" max="12" width="13.421875" style="0" customWidth="1"/>
    <col min="13" max="13" width="11.140625" style="0" customWidth="1"/>
    <col min="14" max="14" width="10.00390625" style="0" customWidth="1"/>
    <col min="15" max="15" width="12.28125" style="0" customWidth="1"/>
    <col min="16" max="16" width="11.57421875" style="0" customWidth="1"/>
    <col min="17" max="17" width="11.00390625" style="0" customWidth="1"/>
    <col min="18" max="18" width="15.28125" style="0" customWidth="1"/>
  </cols>
  <sheetData>
    <row r="4" spans="2:3" ht="12.75">
      <c r="B4" s="5" t="s">
        <v>487</v>
      </c>
      <c r="C4" s="5" t="s">
        <v>508</v>
      </c>
    </row>
    <row r="5" spans="2:3" ht="12.75">
      <c r="B5" t="s">
        <v>488</v>
      </c>
      <c r="C5">
        <v>3033.9</v>
      </c>
    </row>
    <row r="6" spans="2:3" ht="12.75">
      <c r="B6" t="s">
        <v>489</v>
      </c>
      <c r="C6">
        <v>2152</v>
      </c>
    </row>
    <row r="7" spans="2:3" ht="12.75">
      <c r="B7" t="s">
        <v>490</v>
      </c>
      <c r="C7">
        <v>924</v>
      </c>
    </row>
    <row r="8" spans="2:3" ht="12.75">
      <c r="B8" t="s">
        <v>491</v>
      </c>
      <c r="C8">
        <v>389.6</v>
      </c>
    </row>
    <row r="9" spans="2:3" ht="12.75">
      <c r="B9" t="s">
        <v>492</v>
      </c>
      <c r="C9">
        <v>4</v>
      </c>
    </row>
    <row r="10" spans="2:3" ht="12.75">
      <c r="B10" t="s">
        <v>493</v>
      </c>
      <c r="C10">
        <v>60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37682.11257666725</v>
      </c>
      <c r="J27" s="30">
        <f>I27/C5/12</f>
        <v>1.0350295158230673</v>
      </c>
      <c r="K27" s="42">
        <f>J27*C5*3</f>
        <v>9420.528144166812</v>
      </c>
      <c r="L27" s="7">
        <f>J27*C5*6</f>
        <v>18841.056288333624</v>
      </c>
      <c r="M27" s="1">
        <f>J27*C5*9</f>
        <v>28261.584432500436</v>
      </c>
      <c r="N27" s="1">
        <f>J27*C5*12</f>
        <v>37682.11257666725</v>
      </c>
    </row>
    <row r="28" spans="2:14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12811.917266899172</v>
      </c>
      <c r="J28" s="30">
        <f>I28/C5/12</f>
        <v>0.35191000766063407</v>
      </c>
      <c r="K28" s="42">
        <f>J28*C5*3</f>
        <v>3202.979316724793</v>
      </c>
      <c r="L28" s="7">
        <f>J28*C5*6</f>
        <v>6405.958633449586</v>
      </c>
      <c r="M28" s="1">
        <f>J28*C5*9</f>
        <v>9608.937950174379</v>
      </c>
      <c r="N28" s="1">
        <f>J28*C5*12</f>
        <v>12811.917266899172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2561.184706328575</v>
      </c>
      <c r="J29" s="30">
        <f>I29/C5/12</f>
        <v>0.07034907507192543</v>
      </c>
      <c r="K29" s="42">
        <f>J29*C5*3</f>
        <v>640.2961765821437</v>
      </c>
      <c r="L29" s="7">
        <f>J29*C5*6</f>
        <v>1280.5923531642875</v>
      </c>
      <c r="M29" s="1">
        <f>J29*C5*9</f>
        <v>1920.8885297464312</v>
      </c>
      <c r="N29" s="1">
        <f>J29*C5*12</f>
        <v>2561.184706328575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7"/>
      <c r="M30" s="1"/>
      <c r="N30" s="1"/>
    </row>
    <row r="31" spans="2:14" ht="38.2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53055.214549895</v>
      </c>
      <c r="J33" s="31">
        <f t="shared" si="0"/>
        <v>1.4572885985556268</v>
      </c>
      <c r="K33" s="43">
        <f t="shared" si="0"/>
        <v>13263.80363747375</v>
      </c>
      <c r="L33" s="6">
        <f t="shared" si="0"/>
        <v>26527.6072749475</v>
      </c>
      <c r="M33" s="2">
        <f t="shared" si="0"/>
        <v>39791.41091242124</v>
      </c>
      <c r="N33" s="2">
        <f t="shared" si="0"/>
        <v>53055.214549895</v>
      </c>
    </row>
    <row r="34" spans="2:14" ht="38.25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12.7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22557.25091545648</v>
      </c>
      <c r="J35" s="30">
        <f>I35/C5/12</f>
        <v>0.6195889480936659</v>
      </c>
      <c r="K35" s="42">
        <f>J35*C5*3</f>
        <v>5639.31272886412</v>
      </c>
      <c r="L35" s="7">
        <f>J35*C5*6</f>
        <v>11278.62545772824</v>
      </c>
      <c r="M35" s="1">
        <f>J35*C5*9</f>
        <v>16917.93818659236</v>
      </c>
      <c r="N35" s="1">
        <f>J35*C5*12</f>
        <v>22557.25091545648</v>
      </c>
    </row>
    <row r="36" spans="2:14" ht="12.75">
      <c r="B36" s="1" t="s">
        <v>63</v>
      </c>
      <c r="C36" s="3" t="s">
        <v>64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7669.46617468058</v>
      </c>
      <c r="J36" s="30">
        <f>I36/C5/12</f>
        <v>0.21066026606789334</v>
      </c>
      <c r="K36" s="42">
        <f>J36*C5*3</f>
        <v>1917.366543670145</v>
      </c>
      <c r="L36" s="7">
        <f>J36*C5*6</f>
        <v>3834.73308734029</v>
      </c>
      <c r="M36" s="1">
        <f>J36*C5*9</f>
        <v>5752.099631010435</v>
      </c>
      <c r="N36" s="1">
        <f>J36*C5*12</f>
        <v>7669.46617468058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3196.220209706518</v>
      </c>
      <c r="J37" s="30">
        <f>I37/C5/12</f>
        <v>0.08779184684472456</v>
      </c>
      <c r="K37" s="42">
        <f>J37*C5*3</f>
        <v>799.0550524266296</v>
      </c>
      <c r="L37" s="7">
        <f>J37*C5*6</f>
        <v>1598.1101048532591</v>
      </c>
      <c r="M37" s="1">
        <f>J37*C5*9</f>
        <v>2397.1651572798887</v>
      </c>
      <c r="N37" s="1">
        <f>J37*C5*12</f>
        <v>3196.2202097065183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1527.0344977174193</v>
      </c>
      <c r="J38" s="30">
        <f>I38/C5/12</f>
        <v>0.04194366156095617</v>
      </c>
      <c r="K38" s="42">
        <f>J38*C5*3</f>
        <v>381.75862442935477</v>
      </c>
      <c r="L38" s="7">
        <f>J38*C5*6</f>
        <v>763.5172488587095</v>
      </c>
      <c r="M38" s="1">
        <f>J38*C5*9</f>
        <v>1145.2758732880643</v>
      </c>
      <c r="N38" s="1">
        <f>J38*C5*12</f>
        <v>1527.034497717419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25.5">
      <c r="B40" s="1" t="s">
        <v>70</v>
      </c>
      <c r="C40" s="4" t="s">
        <v>161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653.3284148548875</v>
      </c>
      <c r="J41" s="30">
        <f>I41/C5/12</f>
        <v>0.017945230420000863</v>
      </c>
      <c r="K41" s="42">
        <f>J41*C5*3</f>
        <v>163.33210371372186</v>
      </c>
      <c r="L41" s="7">
        <f>J41*C5*6</f>
        <v>326.6642074274437</v>
      </c>
      <c r="M41" s="1">
        <f>J41*C5*9</f>
        <v>489.9963111411656</v>
      </c>
      <c r="N41" s="1">
        <f>J41*C5*12</f>
        <v>653.3284148548875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35603.30021241588</v>
      </c>
      <c r="J42" s="31">
        <f t="shared" si="1"/>
        <v>0.9779299529872408</v>
      </c>
      <c r="K42" s="43">
        <f t="shared" si="1"/>
        <v>8900.82505310397</v>
      </c>
      <c r="L42" s="6">
        <f t="shared" si="1"/>
        <v>17801.65010620794</v>
      </c>
      <c r="M42" s="2">
        <f t="shared" si="1"/>
        <v>26702.475159311914</v>
      </c>
      <c r="N42" s="2">
        <f t="shared" si="1"/>
        <v>35603.30021241588</v>
      </c>
    </row>
    <row r="43" spans="2:14" ht="12.7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108856.33087112822</v>
      </c>
      <c r="J43" s="31">
        <f>I43/C5/12</f>
        <v>2.9899999689928314</v>
      </c>
      <c r="K43" s="43">
        <f>J43*C5*3</f>
        <v>27214.082717782054</v>
      </c>
      <c r="L43" s="6">
        <f>J43*C5*6</f>
        <v>54428.16543556411</v>
      </c>
      <c r="M43" s="2">
        <f>J43*C5*9</f>
        <v>81642.24815334615</v>
      </c>
      <c r="N43" s="50">
        <f>J43*C5*12</f>
        <v>108856.33087112822</v>
      </c>
    </row>
    <row r="44" spans="2:14" ht="25.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51">
      <c r="B45" s="1" t="s">
        <v>76</v>
      </c>
      <c r="C45" s="3" t="s">
        <v>77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11955.669493071213</v>
      </c>
      <c r="J45" s="30">
        <f>I45/C5/12</f>
        <v>0.32839111081092576</v>
      </c>
      <c r="K45" s="42">
        <f>J45*C5*3</f>
        <v>2988.917373267803</v>
      </c>
      <c r="L45" s="7">
        <f>J45*C5*6</f>
        <v>5977.834746535606</v>
      </c>
      <c r="M45" s="1">
        <f>J45*C5*9</f>
        <v>8966.75211980341</v>
      </c>
      <c r="N45" s="1">
        <f>J45*C5*12</f>
        <v>11955.669493071213</v>
      </c>
    </row>
    <row r="46" spans="2:14" ht="51">
      <c r="B46" s="1" t="s">
        <v>78</v>
      </c>
      <c r="C46" s="3" t="s">
        <v>441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4064.9200813816847</v>
      </c>
      <c r="J46" s="30">
        <f>I46/C5/12</f>
        <v>0.11165277039953209</v>
      </c>
      <c r="K46" s="42">
        <f>J46*C5*3</f>
        <v>1016.2300203454213</v>
      </c>
      <c r="L46" s="7">
        <f>J46*C5*6</f>
        <v>2032.4600406908426</v>
      </c>
      <c r="M46" s="1">
        <f>J46*C5*9</f>
        <v>3048.6900610362636</v>
      </c>
      <c r="N46" s="1">
        <f>J46*C5*12</f>
        <v>4064.920081381685</v>
      </c>
    </row>
    <row r="47" spans="2:14" ht="89.2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2388.6620374985873</v>
      </c>
      <c r="J47" s="30">
        <f>I47/C5/12</f>
        <v>0.06561032657356833</v>
      </c>
      <c r="K47" s="42">
        <f>J47*C5*3</f>
        <v>597.165509374647</v>
      </c>
      <c r="L47" s="7">
        <f>J47*C5*6</f>
        <v>1194.331018749294</v>
      </c>
      <c r="M47" s="1">
        <f>J47*C5*9</f>
        <v>1791.4965281239406</v>
      </c>
      <c r="N47" s="1">
        <f>J47*C5*12</f>
        <v>2388.662037498588</v>
      </c>
    </row>
    <row r="48" spans="2:14" ht="12.75">
      <c r="B48" s="1"/>
      <c r="C48" s="4" t="s">
        <v>261</v>
      </c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25.5">
      <c r="B49" s="1"/>
      <c r="C49" s="4" t="s">
        <v>283</v>
      </c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18409.251611951484</v>
      </c>
      <c r="J50" s="31">
        <f t="shared" si="2"/>
        <v>0.5056542077840261</v>
      </c>
      <c r="K50" s="43">
        <f t="shared" si="2"/>
        <v>4602.312902987871</v>
      </c>
      <c r="L50" s="6">
        <f t="shared" si="2"/>
        <v>9204.625805975742</v>
      </c>
      <c r="M50" s="2">
        <f t="shared" si="2"/>
        <v>13806.938708963613</v>
      </c>
      <c r="N50" s="2">
        <f t="shared" si="2"/>
        <v>18409.251611951484</v>
      </c>
    </row>
    <row r="51" spans="2:14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25.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14298.67664227953</v>
      </c>
      <c r="J52" s="30">
        <f>I52/C5/12</f>
        <v>0.3927474164793261</v>
      </c>
      <c r="K52" s="42">
        <f>J52*C5*3</f>
        <v>3574.6691605698825</v>
      </c>
      <c r="L52" s="7">
        <f>J52*C5*6</f>
        <v>7149.338321139765</v>
      </c>
      <c r="M52" s="1">
        <f>J52*C5*9</f>
        <v>10724.007481709648</v>
      </c>
      <c r="N52" s="1">
        <f>J52*C5*12</f>
        <v>14298.67664227953</v>
      </c>
    </row>
    <row r="53" spans="2:14" ht="38.25">
      <c r="B53" s="1" t="s">
        <v>84</v>
      </c>
      <c r="C53" s="3" t="s">
        <v>85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4861.550794595774</v>
      </c>
      <c r="J53" s="30">
        <f>I53/C5/12</f>
        <v>0.13353414182503748</v>
      </c>
      <c r="K53" s="42">
        <f>J53*C5*3</f>
        <v>1215.3876986489436</v>
      </c>
      <c r="L53" s="7">
        <f>J53*C5*6</f>
        <v>2430.775397297887</v>
      </c>
      <c r="M53" s="1">
        <f>J53*C5*9</f>
        <v>3646.163095946831</v>
      </c>
      <c r="N53" s="1">
        <f>J53*C5*12</f>
        <v>4861.550794595774</v>
      </c>
    </row>
    <row r="54" spans="2:14" ht="51">
      <c r="B54" s="1" t="s">
        <v>86</v>
      </c>
      <c r="C54" s="3" t="s">
        <v>87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9554.645082407955</v>
      </c>
      <c r="J54" s="30">
        <f>I54/C5/12</f>
        <v>0.2624412220356624</v>
      </c>
      <c r="K54" s="42">
        <f>J54*C5*3</f>
        <v>2388.6612706019887</v>
      </c>
      <c r="L54" s="7">
        <f>J54*C5*6</f>
        <v>4777.322541203977</v>
      </c>
      <c r="M54" s="1">
        <f>J54*C5*9</f>
        <v>7165.983811805965</v>
      </c>
      <c r="N54" s="1">
        <f>J54*C5*12</f>
        <v>9554.645082407955</v>
      </c>
    </row>
    <row r="55" spans="2:14" ht="25.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38.2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63.7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3"/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28714.87251928326</v>
      </c>
      <c r="J59" s="31">
        <f t="shared" si="3"/>
        <v>0.7887227803400261</v>
      </c>
      <c r="K59" s="43">
        <f t="shared" si="3"/>
        <v>7178.718129820815</v>
      </c>
      <c r="L59" s="6">
        <f t="shared" si="3"/>
        <v>14357.43625964163</v>
      </c>
      <c r="M59" s="2">
        <f t="shared" si="3"/>
        <v>21536.154389462445</v>
      </c>
      <c r="N59" s="2">
        <f t="shared" si="3"/>
        <v>28714.87251928326</v>
      </c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25.5">
      <c r="B61" s="1" t="s">
        <v>96</v>
      </c>
      <c r="C61" s="3" t="s">
        <v>97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64972.22523186116</v>
      </c>
      <c r="J61" s="30">
        <f>I61/C5/12</f>
        <v>1.7846178524852816</v>
      </c>
      <c r="K61" s="42">
        <f>J61*C5*3</f>
        <v>16243.05630796529</v>
      </c>
      <c r="L61" s="7">
        <f>J61*C5*6</f>
        <v>32486.11261593058</v>
      </c>
      <c r="M61" s="1">
        <f>J61*C5*9</f>
        <v>48729.168923895864</v>
      </c>
      <c r="N61" s="1">
        <f>J61*C5*12</f>
        <v>64972.22523186116</v>
      </c>
    </row>
    <row r="62" spans="2:14" ht="25.5">
      <c r="B62" s="1" t="s">
        <v>98</v>
      </c>
      <c r="C62" s="3" t="s">
        <v>290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22090.557744515627</v>
      </c>
      <c r="J62" s="30">
        <f>I62/C5/12</f>
        <v>0.606770101863268</v>
      </c>
      <c r="K62" s="42">
        <f>J62*C5*3</f>
        <v>5522.639436128906</v>
      </c>
      <c r="L62" s="7">
        <f>J62*C5*6</f>
        <v>11045.278872257812</v>
      </c>
      <c r="M62" s="1">
        <f>J62*C5*9</f>
        <v>16567.918308386717</v>
      </c>
      <c r="N62" s="1">
        <f>J62*C5*12</f>
        <v>22090.557744515623</v>
      </c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15412.891507197133</v>
      </c>
      <c r="J63" s="30">
        <f>I63/C5/12</f>
        <v>0.4233519976267382</v>
      </c>
      <c r="K63" s="42">
        <f>J63*C5*3</f>
        <v>3853.2228767992833</v>
      </c>
      <c r="L63" s="7">
        <f>J63*C5*6</f>
        <v>7706.445753598567</v>
      </c>
      <c r="M63" s="1">
        <f>J63*C5*9</f>
        <v>11559.66863039785</v>
      </c>
      <c r="N63" s="1">
        <f>J63*C5*12</f>
        <v>15412.891507197133</v>
      </c>
    </row>
    <row r="64" spans="2:14" ht="25.5">
      <c r="B64" s="1" t="s">
        <v>102</v>
      </c>
      <c r="C64" s="3" t="s">
        <v>103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38.25">
      <c r="B65" s="1" t="s">
        <v>104</v>
      </c>
      <c r="C65" s="4" t="s">
        <v>405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38.25">
      <c r="B66" s="1" t="s">
        <v>105</v>
      </c>
      <c r="C66" s="3" t="s">
        <v>106</v>
      </c>
      <c r="D66" s="1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102475.67448357391</v>
      </c>
      <c r="J67" s="31">
        <f t="shared" si="4"/>
        <v>2.814739951975288</v>
      </c>
      <c r="K67" s="43">
        <f t="shared" si="4"/>
        <v>25618.918620893477</v>
      </c>
      <c r="L67" s="6">
        <f t="shared" si="4"/>
        <v>51237.837241786954</v>
      </c>
      <c r="M67" s="2">
        <f t="shared" si="4"/>
        <v>76856.75586268044</v>
      </c>
      <c r="N67" s="2">
        <f t="shared" si="4"/>
        <v>102475.67448357391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51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5953.304791942234</v>
      </c>
      <c r="J69" s="30">
        <f>I69/C5/12</f>
        <v>0.1635217814238613</v>
      </c>
      <c r="K69" s="42">
        <f>J69*C5*3</f>
        <v>1488.3261979855586</v>
      </c>
      <c r="L69" s="7">
        <f>J69*C5*6</f>
        <v>2976.652395971117</v>
      </c>
      <c r="M69" s="1">
        <f>J69*C5*9</f>
        <v>4464.9785939566755</v>
      </c>
      <c r="N69" s="1">
        <f>J69*C5*12</f>
        <v>5953.304791942234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2024.125408460468</v>
      </c>
      <c r="J70" s="30">
        <f>I70/C5/12</f>
        <v>0.05559745455410714</v>
      </c>
      <c r="K70" s="42">
        <f>J70*C5*3</f>
        <v>506.031352115117</v>
      </c>
      <c r="L70" s="7">
        <f>J70*C5*6</f>
        <v>1012.062704230234</v>
      </c>
      <c r="M70" s="1">
        <f>J70*C5*9</f>
        <v>1518.094056345351</v>
      </c>
      <c r="N70" s="1">
        <f>J70*C5*12</f>
        <v>2024.125408460468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1712.538388155693</v>
      </c>
      <c r="J71" s="30">
        <f>I71/C5/12</f>
        <v>0.04703897041639729</v>
      </c>
      <c r="K71" s="42">
        <f>J71*C5*3</f>
        <v>428.1345970389232</v>
      </c>
      <c r="L71" s="7">
        <f>J71*C5*6</f>
        <v>856.2691940778464</v>
      </c>
      <c r="M71" s="1">
        <f>J71*C5*9</f>
        <v>1284.4037911167695</v>
      </c>
      <c r="N71" s="1">
        <f>J71*C5*12</f>
        <v>1712.5383881556927</v>
      </c>
    </row>
    <row r="72" spans="2:14" ht="12.75">
      <c r="B72" s="1"/>
      <c r="C72" s="3"/>
      <c r="D72" s="1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10557.9728343835</v>
      </c>
      <c r="J72" s="30">
        <f>I72/C5/12</f>
        <v>0.29000002291834215</v>
      </c>
      <c r="K72" s="42">
        <f>J72*C5*3</f>
        <v>2639.493208595875</v>
      </c>
      <c r="L72" s="7">
        <f>J72*C5*6</f>
        <v>5278.98641719175</v>
      </c>
      <c r="M72" s="1">
        <f>J72*C5*9</f>
        <v>7918.479625787624</v>
      </c>
      <c r="N72" s="1">
        <f>J72*C5*12</f>
        <v>10557.9728343835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20247.941422941894</v>
      </c>
      <c r="J74" s="31">
        <f t="shared" si="5"/>
        <v>0.5561582293127079</v>
      </c>
      <c r="K74" s="43">
        <f t="shared" si="5"/>
        <v>5061.985355735474</v>
      </c>
      <c r="L74" s="6">
        <f t="shared" si="5"/>
        <v>10123.970711470947</v>
      </c>
      <c r="M74" s="2">
        <f t="shared" si="5"/>
        <v>15185.956067206422</v>
      </c>
      <c r="N74" s="2">
        <f t="shared" si="5"/>
        <v>20247.941422941894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367362.58567118965</v>
      </c>
      <c r="J80" s="31">
        <f>J33+J42+J43+J50+J59+J67+J74</f>
        <v>10.090493689947747</v>
      </c>
      <c r="K80" s="43">
        <f>J80*C5*3</f>
        <v>91840.64641779741</v>
      </c>
      <c r="L80" s="6">
        <f>L33+L42+L43+L50+L59+L67+L74</f>
        <v>183681.29283559482</v>
      </c>
      <c r="M80" s="2">
        <f>M33+M42+M43+M50+M59+M67+M74</f>
        <v>275521.9392533922</v>
      </c>
      <c r="N80" s="2">
        <f>N33+N42+N43+N50+N59+N67+N74</f>
        <v>367362.58567118965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38457.73446291405</v>
      </c>
      <c r="J81" s="30">
        <f>I81/C5/12</f>
        <v>1.0563338294745501</v>
      </c>
      <c r="K81" s="42">
        <f>J81*C5*3</f>
        <v>9614.433615728514</v>
      </c>
      <c r="L81" s="7">
        <f>J81*C5*6</f>
        <v>19228.86723145703</v>
      </c>
      <c r="M81" s="1">
        <f>J81*C5*9</f>
        <v>28843.30084718554</v>
      </c>
      <c r="N81" s="1">
        <f>J81*C5*12</f>
        <v>38457.73446291406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102961.07441038259</v>
      </c>
      <c r="J82" s="30">
        <f>I82/C5/12</f>
        <v>2.8280726240807375</v>
      </c>
      <c r="K82" s="42">
        <f>J82*C5*3</f>
        <v>25740.268602595646</v>
      </c>
      <c r="L82" s="7">
        <f>J82*C5*6</f>
        <v>51480.53720519129</v>
      </c>
      <c r="M82" s="1">
        <f>J82*C5*9</f>
        <v>77220.80580778694</v>
      </c>
      <c r="N82" s="1">
        <f>J82*C5*12</f>
        <v>102961.07441038259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508781.3945444863</v>
      </c>
      <c r="J83" s="31">
        <f>J80+J81+J82</f>
        <v>13.974900143503035</v>
      </c>
      <c r="K83" s="43">
        <f>J83*C5*3</f>
        <v>127195.34863612158</v>
      </c>
      <c r="L83" s="6">
        <f>SUM(L80:L82)</f>
        <v>254390.69727224315</v>
      </c>
      <c r="M83" s="2">
        <f>SUM(M80:M82)</f>
        <v>381586.0459083647</v>
      </c>
      <c r="N83" s="2">
        <f>SUM(N80:N82)</f>
        <v>508781.3945444863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/>
      <c r="J84" s="30"/>
      <c r="K84" s="42"/>
      <c r="L84" s="7">
        <f>J84*C5*6</f>
        <v>0</v>
      </c>
      <c r="M84" s="1"/>
      <c r="N84" s="1"/>
    </row>
    <row r="85" spans="2:14" ht="12.7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508781.3945444863</v>
      </c>
      <c r="J85" s="31">
        <f>J83+J84</f>
        <v>13.974900143503035</v>
      </c>
      <c r="K85" s="43">
        <f>J85*C5*3</f>
        <v>127195.34863612158</v>
      </c>
      <c r="L85" s="6">
        <f>SUM(L83:L84)</f>
        <v>254390.69727224315</v>
      </c>
      <c r="M85" s="2">
        <f>M83+M84</f>
        <v>381586.0459083647</v>
      </c>
      <c r="N85" s="2">
        <f>N83+N84</f>
        <v>508781.3945444863</v>
      </c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>
        <v>9184.92</v>
      </c>
      <c r="M86" s="2">
        <v>9184.92</v>
      </c>
      <c r="N86" s="2">
        <v>9184.92</v>
      </c>
    </row>
    <row r="87" spans="2:14" ht="12.75">
      <c r="B87" s="1"/>
      <c r="C87" s="4" t="s">
        <v>284</v>
      </c>
      <c r="D87" s="2"/>
      <c r="E87" s="2"/>
      <c r="F87" s="2"/>
      <c r="G87" s="2"/>
      <c r="H87" s="2"/>
      <c r="I87" s="2"/>
      <c r="J87" s="2"/>
      <c r="K87" s="2"/>
      <c r="L87" s="6"/>
      <c r="M87" s="2">
        <v>543000</v>
      </c>
      <c r="N87" s="2">
        <v>543000</v>
      </c>
    </row>
    <row r="88" spans="2:14" ht="12.75">
      <c r="B88" s="1"/>
      <c r="C88" s="1" t="s">
        <v>514</v>
      </c>
      <c r="D88" s="1"/>
      <c r="E88" s="1"/>
      <c r="F88" s="1"/>
      <c r="G88" s="1"/>
      <c r="H88" s="1"/>
      <c r="I88" s="1"/>
      <c r="J88" s="1">
        <v>14.27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>
        <v>2.79</v>
      </c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2" t="s">
        <v>231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219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 t="s">
        <v>220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221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2" t="s">
        <v>232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219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 t="s">
        <v>220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221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2" t="s">
        <v>233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219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 t="s">
        <v>220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4">
      <pane xSplit="1" ySplit="15" topLeftCell="B58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Q62" sqref="Q62"/>
    </sheetView>
  </sheetViews>
  <sheetFormatPr defaultColWidth="9.140625" defaultRowHeight="12.75"/>
  <cols>
    <col min="2" max="2" width="9.57421875" style="0" customWidth="1"/>
    <col min="3" max="3" width="38.140625" style="0" customWidth="1"/>
    <col min="4" max="4" width="14.7109375" style="0" hidden="1" customWidth="1"/>
    <col min="5" max="5" width="17.140625" style="0" hidden="1" customWidth="1"/>
    <col min="6" max="6" width="15.8515625" style="0" hidden="1" customWidth="1"/>
    <col min="7" max="7" width="14.421875" style="0" hidden="1" customWidth="1"/>
    <col min="8" max="8" width="13.7109375" style="0" hidden="1" customWidth="1"/>
    <col min="9" max="9" width="12.7109375" style="0" hidden="1" customWidth="1"/>
    <col min="10" max="10" width="10.57421875" style="0" hidden="1" customWidth="1"/>
    <col min="11" max="11" width="12.140625" style="0" hidden="1" customWidth="1"/>
    <col min="12" max="12" width="12.57421875" style="0" customWidth="1"/>
    <col min="13" max="13" width="11.421875" style="0" customWidth="1"/>
    <col min="14" max="14" width="10.28125" style="0" customWidth="1"/>
    <col min="15" max="15" width="12.421875" style="0" customWidth="1"/>
    <col min="16" max="17" width="11.28125" style="0" customWidth="1"/>
    <col min="18" max="18" width="12.8515625" style="0" customWidth="1"/>
  </cols>
  <sheetData>
    <row r="4" spans="2:3" ht="12.75">
      <c r="B4" s="5" t="s">
        <v>487</v>
      </c>
      <c r="C4" s="5" t="s">
        <v>507</v>
      </c>
    </row>
    <row r="5" spans="2:3" ht="12.75">
      <c r="B5" t="s">
        <v>488</v>
      </c>
      <c r="C5">
        <v>6405.7</v>
      </c>
    </row>
    <row r="6" spans="2:3" ht="12.75">
      <c r="B6" t="s">
        <v>489</v>
      </c>
      <c r="C6">
        <v>4406</v>
      </c>
    </row>
    <row r="7" spans="2:3" ht="12.75">
      <c r="B7" t="s">
        <v>490</v>
      </c>
      <c r="C7">
        <v>2731</v>
      </c>
    </row>
    <row r="8" spans="2:3" ht="12.75">
      <c r="B8" t="s">
        <v>491</v>
      </c>
      <c r="C8">
        <v>801.7</v>
      </c>
    </row>
    <row r="9" spans="2:3" ht="12.75">
      <c r="B9" t="s">
        <v>492</v>
      </c>
      <c r="C9">
        <v>8</v>
      </c>
    </row>
    <row r="10" spans="2:3" ht="12.75">
      <c r="B10" t="s">
        <v>493</v>
      </c>
      <c r="C10">
        <v>119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77540.42518663792</v>
      </c>
      <c r="J27" s="30">
        <f>I27/C5/12</f>
        <v>1.00874254162488</v>
      </c>
      <c r="K27" s="42">
        <f>J27*C5*3</f>
        <v>19385.106296659484</v>
      </c>
      <c r="L27" s="7">
        <f>J27*C5*6</f>
        <v>38770.21259331897</v>
      </c>
      <c r="M27" s="1">
        <f>J27*C5*9</f>
        <v>58155.31888997845</v>
      </c>
      <c r="N27" s="1">
        <f>J27*C5*12</f>
        <v>77540.42518663793</v>
      </c>
    </row>
    <row r="28" spans="2:14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26363.74248684052</v>
      </c>
      <c r="J28" s="30">
        <f>I28/C5/12</f>
        <v>0.34297243713724396</v>
      </c>
      <c r="K28" s="42">
        <f>J28*C5*3</f>
        <v>6590.93562171013</v>
      </c>
      <c r="L28" s="7">
        <f>J28*C5*6</f>
        <v>13181.87124342026</v>
      </c>
      <c r="M28" s="1">
        <f>J28*C5*9</f>
        <v>19772.80686513039</v>
      </c>
      <c r="N28" s="1">
        <f>J28*C5*12</f>
        <v>26363.74248684052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5270.281773777256</v>
      </c>
      <c r="J29" s="30">
        <f>I29/C5/12</f>
        <v>0.06856239721104193</v>
      </c>
      <c r="K29" s="42">
        <f>J29*C5*3</f>
        <v>1317.570443444314</v>
      </c>
      <c r="L29" s="7">
        <f>J29*C5*6</f>
        <v>2635.140886888628</v>
      </c>
      <c r="M29" s="1">
        <f>J29*C5*9</f>
        <v>3952.7113303329415</v>
      </c>
      <c r="N29" s="1">
        <f>J29*C5*12</f>
        <v>5270.281773777256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7"/>
      <c r="M30" s="1"/>
      <c r="N30" s="1"/>
    </row>
    <row r="31" spans="2:14" ht="38.2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109174.4494472557</v>
      </c>
      <c r="J33" s="31">
        <f t="shared" si="0"/>
        <v>1.420277375973166</v>
      </c>
      <c r="K33" s="43">
        <f t="shared" si="0"/>
        <v>27293.612361813928</v>
      </c>
      <c r="L33" s="6">
        <f t="shared" si="0"/>
        <v>54587.224723627856</v>
      </c>
      <c r="M33" s="2">
        <f t="shared" si="0"/>
        <v>81880.83708544177</v>
      </c>
      <c r="N33" s="2">
        <f t="shared" si="0"/>
        <v>109174.44944725571</v>
      </c>
    </row>
    <row r="34" spans="2:14" ht="38.25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12.7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52337.80877230588</v>
      </c>
      <c r="J35" s="30">
        <f>I35/C5/12</f>
        <v>0.680875480331396</v>
      </c>
      <c r="K35" s="42">
        <f>J35*C5*3</f>
        <v>13084.45219307647</v>
      </c>
      <c r="L35" s="7">
        <f>J35*C5*6</f>
        <v>26168.90438615294</v>
      </c>
      <c r="M35" s="1">
        <f>J35*C5*9</f>
        <v>39253.35657922941</v>
      </c>
      <c r="N35" s="1">
        <f>J35*C5*12</f>
        <v>52337.80877230588</v>
      </c>
    </row>
    <row r="36" spans="2:14" ht="12.75">
      <c r="B36" s="1" t="s">
        <v>63</v>
      </c>
      <c r="C36" s="3" t="s">
        <v>311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17794.856985921746</v>
      </c>
      <c r="J36" s="30">
        <f>I36/C5/12</f>
        <v>0.23149768937459017</v>
      </c>
      <c r="K36" s="42">
        <f>J36*C5*3</f>
        <v>4448.7142464804365</v>
      </c>
      <c r="L36" s="7">
        <f>J36*C5*6</f>
        <v>8897.428492960873</v>
      </c>
      <c r="M36" s="1">
        <f>J36*C5*9</f>
        <v>13346.14273944131</v>
      </c>
      <c r="N36" s="1">
        <f>J36*C5*12</f>
        <v>17794.856985921746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7415.937463158459</v>
      </c>
      <c r="J37" s="30">
        <f>I37/C5/12</f>
        <v>0.09647576199268437</v>
      </c>
      <c r="K37" s="42">
        <f>J37*C5*3</f>
        <v>1853.9843657896147</v>
      </c>
      <c r="L37" s="7">
        <f>J37*C5*6</f>
        <v>3707.9687315792294</v>
      </c>
      <c r="M37" s="1">
        <f>J37*C5*9</f>
        <v>5561.953097368844</v>
      </c>
      <c r="N37" s="1">
        <f>J37*C5*12</f>
        <v>7415.937463158459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3543.057610601177</v>
      </c>
      <c r="J38" s="30">
        <f>I38/C5/12</f>
        <v>0.046092511494985944</v>
      </c>
      <c r="K38" s="42">
        <f>J38*C5*3</f>
        <v>885.7644026502944</v>
      </c>
      <c r="L38" s="7">
        <f>J38*C5*6</f>
        <v>1771.5288053005888</v>
      </c>
      <c r="M38" s="1">
        <f>J38*C5*9</f>
        <v>2657.2932079508832</v>
      </c>
      <c r="N38" s="1">
        <f>J38*C5*12</f>
        <v>3543.0576106011777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1379.4211500167942</v>
      </c>
      <c r="J41" s="30">
        <f>I41/C5/12</f>
        <v>0.017945230420000863</v>
      </c>
      <c r="K41" s="42">
        <f>J41*C5*3</f>
        <v>344.8552875041986</v>
      </c>
      <c r="L41" s="7">
        <f>J41*C5*6</f>
        <v>689.7105750083972</v>
      </c>
      <c r="M41" s="1">
        <f>J41*C5*9</f>
        <v>1034.5658625125957</v>
      </c>
      <c r="N41" s="1">
        <f>J41*C5*12</f>
        <v>1379.4211500167944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82471.08198200405</v>
      </c>
      <c r="J42" s="31">
        <f t="shared" si="1"/>
        <v>1.0728866736136575</v>
      </c>
      <c r="K42" s="43">
        <f t="shared" si="1"/>
        <v>20617.770495501012</v>
      </c>
      <c r="L42" s="6">
        <f t="shared" si="1"/>
        <v>41235.540991002024</v>
      </c>
      <c r="M42" s="2">
        <f t="shared" si="1"/>
        <v>61853.311486503044</v>
      </c>
      <c r="N42" s="2">
        <f t="shared" si="1"/>
        <v>82471.08198200405</v>
      </c>
    </row>
    <row r="43" spans="2:14" ht="12.7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229836.51361652854</v>
      </c>
      <c r="J43" s="31">
        <f>I43/C5/12</f>
        <v>2.9899999689928314</v>
      </c>
      <c r="K43" s="43">
        <f>J43*C5*3</f>
        <v>57459.128404132134</v>
      </c>
      <c r="L43" s="6">
        <f>J43*C5*6</f>
        <v>114918.25680826427</v>
      </c>
      <c r="M43" s="2">
        <f>J43*C5*9</f>
        <v>172377.3852123964</v>
      </c>
      <c r="N43" s="50">
        <f>J43*C5*12</f>
        <v>229836.51361652854</v>
      </c>
    </row>
    <row r="44" spans="2:14" ht="25.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51">
      <c r="B45" s="1" t="s">
        <v>76</v>
      </c>
      <c r="C45" s="3" t="s">
        <v>77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25242.89926225857</v>
      </c>
      <c r="J45" s="30">
        <f>I45/C5/12</f>
        <v>0.3283911108109258</v>
      </c>
      <c r="K45" s="42">
        <f>J45*C5*3</f>
        <v>6310.724815564641</v>
      </c>
      <c r="L45" s="7">
        <f>J45*C5*6</f>
        <v>12621.449631129282</v>
      </c>
      <c r="M45" s="1">
        <f>J45*C5*9</f>
        <v>18932.174446693924</v>
      </c>
      <c r="N45" s="1">
        <f>J45*C5*12</f>
        <v>25242.899262258565</v>
      </c>
    </row>
    <row r="46" spans="2:14" ht="76.5">
      <c r="B46" s="1" t="s">
        <v>78</v>
      </c>
      <c r="C46" s="3" t="s">
        <v>478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8582.569816179392</v>
      </c>
      <c r="J46" s="30">
        <f>I46/C5/12</f>
        <v>0.11165277039953209</v>
      </c>
      <c r="K46" s="42">
        <f>J46*C5*3</f>
        <v>2145.642454044848</v>
      </c>
      <c r="L46" s="7">
        <f>J46*C5*6</f>
        <v>4291.284908089696</v>
      </c>
      <c r="M46" s="1">
        <f>J46*C5*9</f>
        <v>6436.927362134545</v>
      </c>
      <c r="N46" s="1">
        <f>J46*C5*12</f>
        <v>8582.569816179392</v>
      </c>
    </row>
    <row r="47" spans="2:14" ht="89.2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5043.360827187679</v>
      </c>
      <c r="J47" s="30">
        <f>I47/C5/12</f>
        <v>0.06561032657356833</v>
      </c>
      <c r="K47" s="42">
        <f>J47*C5*3</f>
        <v>1260.8402067969198</v>
      </c>
      <c r="L47" s="7">
        <f>J47*C5*6</f>
        <v>2521.6804135938396</v>
      </c>
      <c r="M47" s="1">
        <f>J47*C5*9</f>
        <v>3782.5206203907596</v>
      </c>
      <c r="N47" s="1">
        <f>J47*C5*12</f>
        <v>5043.360827187679</v>
      </c>
    </row>
    <row r="48" spans="2:14" ht="12.75">
      <c r="B48" s="1"/>
      <c r="C48" s="4" t="s">
        <v>262</v>
      </c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3"/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38868.829905625644</v>
      </c>
      <c r="J50" s="31">
        <f t="shared" si="2"/>
        <v>0.5056542077840263</v>
      </c>
      <c r="K50" s="43">
        <f t="shared" si="2"/>
        <v>9717.20747640641</v>
      </c>
      <c r="L50" s="6">
        <f t="shared" si="2"/>
        <v>19434.41495281282</v>
      </c>
      <c r="M50" s="2">
        <f t="shared" si="2"/>
        <v>29151.622429219227</v>
      </c>
      <c r="N50" s="2">
        <f t="shared" si="2"/>
        <v>38868.82990562564</v>
      </c>
    </row>
    <row r="51" spans="2:14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25.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30189.865508899427</v>
      </c>
      <c r="J52" s="30">
        <f>I52/C5/12</f>
        <v>0.3927474164793261</v>
      </c>
      <c r="K52" s="42">
        <f>J52*C5*3</f>
        <v>7547.466377224857</v>
      </c>
      <c r="L52" s="7">
        <f>J52*C5*6</f>
        <v>15094.932754449714</v>
      </c>
      <c r="M52" s="1">
        <f>J52*C5*9</f>
        <v>22642.39913167457</v>
      </c>
      <c r="N52" s="1">
        <f>J52*C5*12</f>
        <v>30189.865508899427</v>
      </c>
    </row>
    <row r="53" spans="2:14" ht="38.25">
      <c r="B53" s="1" t="s">
        <v>84</v>
      </c>
      <c r="C53" s="3" t="s">
        <v>387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10264.55582746371</v>
      </c>
      <c r="J53" s="30">
        <f>I53/C5/12</f>
        <v>0.13353414182503745</v>
      </c>
      <c r="K53" s="42">
        <f>J53*C5*3</f>
        <v>2566.138956865927</v>
      </c>
      <c r="L53" s="7">
        <f>J53*C5*6</f>
        <v>5132.277913731854</v>
      </c>
      <c r="M53" s="1">
        <f>J53*C5*9</f>
        <v>7698.416870597781</v>
      </c>
      <c r="N53" s="1">
        <f>J53*C5*12</f>
        <v>10264.555827463708</v>
      </c>
    </row>
    <row r="54" spans="2:14" ht="63.75">
      <c r="B54" s="1" t="s">
        <v>86</v>
      </c>
      <c r="C54" s="3" t="s">
        <v>463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20173.436831926112</v>
      </c>
      <c r="J54" s="30">
        <f>I54/C5/12</f>
        <v>0.2624412220356624</v>
      </c>
      <c r="K54" s="42">
        <f>J54*C5*3</f>
        <v>5043.359207981528</v>
      </c>
      <c r="L54" s="7">
        <f>J54*C5*6</f>
        <v>10086.718415963056</v>
      </c>
      <c r="M54" s="1">
        <f>J54*C5*9</f>
        <v>15130.077623944584</v>
      </c>
      <c r="N54" s="1">
        <f>J54*C5*12</f>
        <v>20173.436831926112</v>
      </c>
    </row>
    <row r="55" spans="2:14" ht="25.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38.2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63.7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3"/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60627.85816828925</v>
      </c>
      <c r="J59" s="31">
        <f t="shared" si="3"/>
        <v>0.7887227803400259</v>
      </c>
      <c r="K59" s="43">
        <f t="shared" si="3"/>
        <v>15156.964542072312</v>
      </c>
      <c r="L59" s="6">
        <f t="shared" si="3"/>
        <v>30313.929084144624</v>
      </c>
      <c r="M59" s="2">
        <f t="shared" si="3"/>
        <v>45470.89362621694</v>
      </c>
      <c r="N59" s="2">
        <f t="shared" si="3"/>
        <v>60627.85816828925</v>
      </c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25.5">
      <c r="B61" s="1" t="s">
        <v>96</v>
      </c>
      <c r="C61" s="3" t="s">
        <v>97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137180.71893197962</v>
      </c>
      <c r="J61" s="30">
        <f>I61/C5/12</f>
        <v>1.7846178524852816</v>
      </c>
      <c r="K61" s="42">
        <f>J61*C5*3</f>
        <v>34295.179732994904</v>
      </c>
      <c r="L61" s="7">
        <f>J61*C5*6</f>
        <v>68590.35946598981</v>
      </c>
      <c r="M61" s="1">
        <f>J61*C5*9</f>
        <v>102885.53919898471</v>
      </c>
      <c r="N61" s="1">
        <f>J61*C5*12</f>
        <v>137180.71893197962</v>
      </c>
    </row>
    <row r="62" spans="2:14" ht="38.25">
      <c r="B62" s="1" t="s">
        <v>98</v>
      </c>
      <c r="C62" s="4" t="s">
        <v>289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46641.44689806643</v>
      </c>
      <c r="J62" s="30">
        <f>I62/C5/12</f>
        <v>0.606770101863268</v>
      </c>
      <c r="K62" s="42">
        <f>J62*C5*3</f>
        <v>11660.361724516606</v>
      </c>
      <c r="L62" s="7">
        <f>J62*C5*6</f>
        <v>23320.723449033212</v>
      </c>
      <c r="M62" s="1">
        <f>J62*C5*9</f>
        <v>34981.085173549814</v>
      </c>
      <c r="N62" s="1">
        <f>J62*C5*12</f>
        <v>46641.446898066424</v>
      </c>
    </row>
    <row r="63" spans="2:14" ht="12.75">
      <c r="B63" s="1" t="s">
        <v>100</v>
      </c>
      <c r="C63" s="3" t="s">
        <v>194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32542.390694371163</v>
      </c>
      <c r="J63" s="30">
        <f>I63/C5/12</f>
        <v>0.4233519976267382</v>
      </c>
      <c r="K63" s="42">
        <f>J63*C5*3</f>
        <v>8135.597673592791</v>
      </c>
      <c r="L63" s="7">
        <f>J63*C5*6</f>
        <v>16271.195347185581</v>
      </c>
      <c r="M63" s="1">
        <f>J63*C5*9</f>
        <v>24406.793020778372</v>
      </c>
      <c r="N63" s="1">
        <f>J63*C5*12</f>
        <v>32542.390694371163</v>
      </c>
    </row>
    <row r="64" spans="2:14" ht="25.5">
      <c r="B64" s="1" t="s">
        <v>102</v>
      </c>
      <c r="C64" s="3" t="s">
        <v>158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38.25">
      <c r="B65" s="1" t="s">
        <v>104</v>
      </c>
      <c r="C65" s="4" t="s">
        <v>404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38.25">
      <c r="B66" s="1" t="s">
        <v>105</v>
      </c>
      <c r="C66" s="3" t="s">
        <v>106</v>
      </c>
      <c r="D66" s="1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216364.55652441722</v>
      </c>
      <c r="J67" s="31">
        <f t="shared" si="4"/>
        <v>2.814739951975288</v>
      </c>
      <c r="K67" s="43">
        <f t="shared" si="4"/>
        <v>54091.139131104304</v>
      </c>
      <c r="L67" s="6">
        <f t="shared" si="4"/>
        <v>108182.27826220861</v>
      </c>
      <c r="M67" s="2">
        <f t="shared" si="4"/>
        <v>162273.41739331288</v>
      </c>
      <c r="N67" s="2">
        <f t="shared" si="4"/>
        <v>216364.55652441722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51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12569.657703201941</v>
      </c>
      <c r="J69" s="30">
        <f>I69/C5/12</f>
        <v>0.16352178142386134</v>
      </c>
      <c r="K69" s="42">
        <f>J69*C5*3</f>
        <v>3142.4144258004853</v>
      </c>
      <c r="L69" s="7">
        <f>J69*C5*6</f>
        <v>6284.828851600971</v>
      </c>
      <c r="M69" s="1">
        <f>J69*C5*9</f>
        <v>9427.243277401456</v>
      </c>
      <c r="N69" s="1">
        <f>J69*C5*12</f>
        <v>12569.657703201941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4273.6873756469295</v>
      </c>
      <c r="J70" s="30">
        <f>I70/C5/12</f>
        <v>0.05559745455410714</v>
      </c>
      <c r="K70" s="42">
        <f>J70*C5*3</f>
        <v>1068.4218439117321</v>
      </c>
      <c r="L70" s="7">
        <f>J70*C5*6</f>
        <v>2136.8436878234643</v>
      </c>
      <c r="M70" s="1">
        <f>J70*C5*9</f>
        <v>3205.265531735197</v>
      </c>
      <c r="N70" s="1">
        <f>J70*C5*12</f>
        <v>4273.687375646929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3615.8103935557933</v>
      </c>
      <c r="J71" s="30">
        <f>I71/C5/12</f>
        <v>0.04703897041639729</v>
      </c>
      <c r="K71" s="42">
        <f>J71*C5*3</f>
        <v>903.9525983889484</v>
      </c>
      <c r="L71" s="7">
        <f>J71*C5*6</f>
        <v>1807.905196777897</v>
      </c>
      <c r="M71" s="1">
        <f>J71*C5*9</f>
        <v>2711.8577951668453</v>
      </c>
      <c r="N71" s="1">
        <f>J71*C5*12</f>
        <v>3615.810393555794</v>
      </c>
    </row>
    <row r="72" spans="2:14" ht="12.75">
      <c r="B72" s="1"/>
      <c r="C72" s="3"/>
      <c r="D72" s="1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22291.83776169629</v>
      </c>
      <c r="J72" s="30">
        <f>I72/C5/12</f>
        <v>0.29000002291834215</v>
      </c>
      <c r="K72" s="42">
        <f>J72*C5*3</f>
        <v>5572.959440424072</v>
      </c>
      <c r="L72" s="7">
        <f>J72*C5*6</f>
        <v>11145.918880848145</v>
      </c>
      <c r="M72" s="1">
        <f>J72*C5*9</f>
        <v>16718.87832127222</v>
      </c>
      <c r="N72" s="1">
        <f>J72*C5*12</f>
        <v>22291.83776169629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42750.993234100955</v>
      </c>
      <c r="J74" s="31">
        <f t="shared" si="5"/>
        <v>0.5561582293127079</v>
      </c>
      <c r="K74" s="43">
        <f t="shared" si="5"/>
        <v>10687.748308525239</v>
      </c>
      <c r="L74" s="6">
        <f t="shared" si="5"/>
        <v>21375.496617050478</v>
      </c>
      <c r="M74" s="2">
        <f t="shared" si="5"/>
        <v>32063.244925575716</v>
      </c>
      <c r="N74" s="2">
        <f t="shared" si="5"/>
        <v>42750.993234100955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780094.2828782214</v>
      </c>
      <c r="J80" s="31">
        <f>J33+J42+J43+J50+J59+J67+J74</f>
        <v>10.148439187991702</v>
      </c>
      <c r="K80" s="43">
        <f>J80*C5*3</f>
        <v>195023.5707195553</v>
      </c>
      <c r="L80" s="6">
        <f>L33+L42+L43+L50+L59+L67+L74</f>
        <v>390047.1414391107</v>
      </c>
      <c r="M80" s="2">
        <f>M33+M42+M43+M50+M59+M67+M74</f>
        <v>585070.7121586659</v>
      </c>
      <c r="N80" s="2">
        <f>N33+N42+N43+N50+N59+N67+N74</f>
        <v>780094.2828782214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81664.98156625098</v>
      </c>
      <c r="J81" s="30">
        <f>I81/C5/12</f>
        <v>1.0623999142202905</v>
      </c>
      <c r="K81" s="42">
        <f>J81*C5*3</f>
        <v>20416.24539156274</v>
      </c>
      <c r="L81" s="7">
        <f>J81*C5*6</f>
        <v>40832.49078312548</v>
      </c>
      <c r="M81" s="1">
        <f>J81*C5*9</f>
        <v>61248.73617468823</v>
      </c>
      <c r="N81" s="1">
        <f>J81*C5*12</f>
        <v>81664.98156625096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218637.79448250335</v>
      </c>
      <c r="J82" s="30">
        <f>I82/C5/12</f>
        <v>2.8443130659998563</v>
      </c>
      <c r="K82" s="42">
        <f>J82*C5*3</f>
        <v>54659.44862062584</v>
      </c>
      <c r="L82" s="7">
        <f>J82*C5*6</f>
        <v>109318.89724125167</v>
      </c>
      <c r="M82" s="1">
        <f>J82*C5*9</f>
        <v>163978.34586187752</v>
      </c>
      <c r="N82" s="1">
        <f>J82*C5*12</f>
        <v>218637.79448250335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1080397.0589269758</v>
      </c>
      <c r="J83" s="31">
        <f>J80+J81+J82</f>
        <v>14.055152168211848</v>
      </c>
      <c r="K83" s="43">
        <f>J83*C5*3</f>
        <v>270099.2647317439</v>
      </c>
      <c r="L83" s="6">
        <f>SUM(L80:L82)</f>
        <v>540198.5294634878</v>
      </c>
      <c r="M83" s="2">
        <f>SUM(M80:M82)</f>
        <v>810297.7941952316</v>
      </c>
      <c r="N83" s="2">
        <f>SUM(N80:N82)</f>
        <v>1080397.0589269756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54019.851929014534</v>
      </c>
      <c r="J84" s="30">
        <f>I84/C5/12</f>
        <v>0.7027575951758399</v>
      </c>
      <c r="K84" s="42">
        <f>J84*C5*3</f>
        <v>13504.962982253634</v>
      </c>
      <c r="L84" s="7">
        <f>J84*C5*6</f>
        <v>27009.925964507267</v>
      </c>
      <c r="M84" s="1"/>
      <c r="N84" s="1"/>
    </row>
    <row r="85" spans="2:14" ht="12.7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1134416.9108559904</v>
      </c>
      <c r="J85" s="31">
        <f>J83+J84</f>
        <v>14.757909763387687</v>
      </c>
      <c r="K85" s="43">
        <f>J85*C5*3</f>
        <v>283604.22771399753</v>
      </c>
      <c r="L85" s="6">
        <f>SUM(L83:L84)</f>
        <v>567208.4554279951</v>
      </c>
      <c r="M85" s="2">
        <f>M83+M84</f>
        <v>810297.7941952316</v>
      </c>
      <c r="N85" s="2">
        <f>N83+N84</f>
        <v>1080397.0589269756</v>
      </c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/>
      <c r="M86" s="2">
        <v>9184.92</v>
      </c>
      <c r="N86" s="2">
        <v>9184.92</v>
      </c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15.54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4">
      <pane xSplit="1" ySplit="15" topLeftCell="B64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Q67" sqref="Q67"/>
    </sheetView>
  </sheetViews>
  <sheetFormatPr defaultColWidth="9.140625" defaultRowHeight="12.75"/>
  <cols>
    <col min="3" max="3" width="37.00390625" style="0" customWidth="1"/>
    <col min="4" max="4" width="17.57421875" style="0" hidden="1" customWidth="1"/>
    <col min="5" max="5" width="16.421875" style="0" hidden="1" customWidth="1"/>
    <col min="6" max="6" width="15.7109375" style="0" hidden="1" customWidth="1"/>
    <col min="7" max="7" width="13.421875" style="0" hidden="1" customWidth="1"/>
    <col min="8" max="8" width="15.7109375" style="0" hidden="1" customWidth="1"/>
    <col min="9" max="9" width="12.421875" style="0" hidden="1" customWidth="1"/>
    <col min="10" max="10" width="10.28125" style="0" hidden="1" customWidth="1"/>
    <col min="11" max="11" width="14.28125" style="0" hidden="1" customWidth="1"/>
    <col min="12" max="12" width="13.28125" style="0" customWidth="1"/>
    <col min="13" max="13" width="10.421875" style="0" customWidth="1"/>
    <col min="14" max="14" width="11.00390625" style="0" customWidth="1"/>
    <col min="15" max="15" width="12.7109375" style="0" customWidth="1"/>
    <col min="16" max="16" width="11.421875" style="0" customWidth="1"/>
    <col min="17" max="17" width="11.7109375" style="0" customWidth="1"/>
    <col min="18" max="18" width="13.00390625" style="0" customWidth="1"/>
  </cols>
  <sheetData>
    <row r="4" spans="2:3" ht="12.75">
      <c r="B4" s="5" t="s">
        <v>487</v>
      </c>
      <c r="C4" s="5" t="s">
        <v>506</v>
      </c>
    </row>
    <row r="5" spans="2:3" ht="12.75">
      <c r="B5" t="s">
        <v>488</v>
      </c>
      <c r="C5">
        <v>6412.5</v>
      </c>
    </row>
    <row r="6" spans="2:3" ht="12.75">
      <c r="B6" t="s">
        <v>489</v>
      </c>
      <c r="C6">
        <v>4406</v>
      </c>
    </row>
    <row r="7" spans="2:3" ht="12.75">
      <c r="B7" t="s">
        <v>490</v>
      </c>
      <c r="C7">
        <v>1744</v>
      </c>
    </row>
    <row r="8" spans="2:3" ht="12.75">
      <c r="B8" t="s">
        <v>491</v>
      </c>
      <c r="C8">
        <v>811.7</v>
      </c>
    </row>
    <row r="9" spans="2:3" ht="12.75">
      <c r="B9" t="s">
        <v>492</v>
      </c>
      <c r="C9">
        <v>8</v>
      </c>
    </row>
    <row r="10" spans="2:3" ht="12.75">
      <c r="B10" t="s">
        <v>493</v>
      </c>
      <c r="C10">
        <v>119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78507.62520143944</v>
      </c>
      <c r="J27" s="30">
        <f>I27/C5/12</f>
        <v>1.0202420429036965</v>
      </c>
      <c r="K27" s="42">
        <f>J27*C5*3</f>
        <v>19626.90630035986</v>
      </c>
      <c r="L27" s="7">
        <f>J27*C5*6</f>
        <v>39253.81260071972</v>
      </c>
      <c r="M27" s="1">
        <f>J27*C5*9</f>
        <v>58880.71890107958</v>
      </c>
      <c r="N27" s="1">
        <f>J27*C5*12</f>
        <v>78507.62520143944</v>
      </c>
    </row>
    <row r="28" spans="2:14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26692.590465970377</v>
      </c>
      <c r="J28" s="30">
        <f>I28/C5/12</f>
        <v>0.3468822672640725</v>
      </c>
      <c r="K28" s="42">
        <f>J28*C5*3</f>
        <v>6673.147616492595</v>
      </c>
      <c r="L28" s="7">
        <f>J28*C5*6</f>
        <v>13346.29523298519</v>
      </c>
      <c r="M28" s="1">
        <f>J28*C5*9</f>
        <v>20019.442849477786</v>
      </c>
      <c r="N28" s="1">
        <f>J28*C5*12</f>
        <v>26692.59046597038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5336.020600941746</v>
      </c>
      <c r="J29" s="30">
        <f>I29/C5/12</f>
        <v>0.0693439974131481</v>
      </c>
      <c r="K29" s="42">
        <f>J29*C5*3</f>
        <v>1334.0051502354368</v>
      </c>
      <c r="L29" s="7">
        <f>J29*C5*6</f>
        <v>2668.0103004708735</v>
      </c>
      <c r="M29" s="1">
        <f>J29*C5*9</f>
        <v>4002.01545070631</v>
      </c>
      <c r="N29" s="1">
        <f>J29*C5*12</f>
        <v>5336.020600941747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7"/>
      <c r="M30" s="1"/>
      <c r="N30" s="1"/>
    </row>
    <row r="31" spans="2:14" ht="25.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110536.23626835157</v>
      </c>
      <c r="J33" s="31">
        <f t="shared" si="0"/>
        <v>1.436468307580917</v>
      </c>
      <c r="K33" s="43">
        <f t="shared" si="0"/>
        <v>27634.059067087892</v>
      </c>
      <c r="L33" s="6">
        <f t="shared" si="0"/>
        <v>55268.118134175784</v>
      </c>
      <c r="M33" s="2">
        <f t="shared" si="0"/>
        <v>82902.17720126368</v>
      </c>
      <c r="N33" s="2">
        <f t="shared" si="0"/>
        <v>110536.23626835157</v>
      </c>
    </row>
    <row r="34" spans="2:14" ht="38.25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12.7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45099.835217833985</v>
      </c>
      <c r="J35" s="30">
        <f>I35/C5/12</f>
        <v>0.5860927253779595</v>
      </c>
      <c r="K35" s="42">
        <f>J35*C5*3</f>
        <v>11274.958804458496</v>
      </c>
      <c r="L35" s="7">
        <f>J35*C5*6</f>
        <v>22549.917608916992</v>
      </c>
      <c r="M35" s="1">
        <f>J35*C5*9</f>
        <v>33824.87641337549</v>
      </c>
      <c r="N35" s="1">
        <f>J35*C5*12</f>
        <v>45099.835217833985</v>
      </c>
    </row>
    <row r="36" spans="2:14" ht="12.75">
      <c r="B36" s="1" t="s">
        <v>63</v>
      </c>
      <c r="C36" s="3" t="s">
        <v>311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15333.945700352913</v>
      </c>
      <c r="J36" s="30">
        <f>I36/C5/12</f>
        <v>0.19927154906241604</v>
      </c>
      <c r="K36" s="42">
        <f>J36*C5*3</f>
        <v>3833.4864250882283</v>
      </c>
      <c r="L36" s="7">
        <f>J36*C5*6</f>
        <v>7666.972850176457</v>
      </c>
      <c r="M36" s="1">
        <f>J36*C5*9</f>
        <v>11500.459275264686</v>
      </c>
      <c r="N36" s="1">
        <f>J36*C5*12</f>
        <v>15333.945700352913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6390.362252826751</v>
      </c>
      <c r="J37" s="30">
        <f>I37/C5/12</f>
        <v>0.0830456433115887</v>
      </c>
      <c r="K37" s="42">
        <f>J37*C5*3</f>
        <v>1597.5905632066876</v>
      </c>
      <c r="L37" s="7">
        <f>J37*C5*6</f>
        <v>3195.1811264133753</v>
      </c>
      <c r="M37" s="1">
        <f>J37*C5*9</f>
        <v>4792.771689620063</v>
      </c>
      <c r="N37" s="1">
        <f>J37*C5*12</f>
        <v>6390.362252826751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3053.0761251502367</v>
      </c>
      <c r="J38" s="30">
        <f>I38/C5/12</f>
        <v>0.03967610299090626</v>
      </c>
      <c r="K38" s="42">
        <f>J38*C5*3</f>
        <v>763.2690312875591</v>
      </c>
      <c r="L38" s="7">
        <f>J38*C5*6</f>
        <v>1526.5380625751181</v>
      </c>
      <c r="M38" s="1">
        <f>J38*C5*9</f>
        <v>2289.8070938626774</v>
      </c>
      <c r="N38" s="1">
        <f>J38*C5*12</f>
        <v>3053.0761251502363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1380.8854808190663</v>
      </c>
      <c r="J41" s="30">
        <f>I41/C5/12</f>
        <v>0.017945230420000863</v>
      </c>
      <c r="K41" s="42">
        <f>J41*C5*3</f>
        <v>345.2213702047666</v>
      </c>
      <c r="L41" s="7">
        <f>J41*C5*6</f>
        <v>690.4427404095331</v>
      </c>
      <c r="M41" s="1">
        <f>J41*C5*9</f>
        <v>1035.6641106142997</v>
      </c>
      <c r="N41" s="1">
        <f>J41*C5*12</f>
        <v>1380.8854808190663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71258.10477698295</v>
      </c>
      <c r="J42" s="31">
        <f t="shared" si="1"/>
        <v>0.9260312511628714</v>
      </c>
      <c r="K42" s="43">
        <f t="shared" si="1"/>
        <v>17814.526194245736</v>
      </c>
      <c r="L42" s="6">
        <f t="shared" si="1"/>
        <v>35629.05238849147</v>
      </c>
      <c r="M42" s="2">
        <f t="shared" si="1"/>
        <v>53443.57858273722</v>
      </c>
      <c r="N42" s="2">
        <f t="shared" si="1"/>
        <v>71258.10477698295</v>
      </c>
    </row>
    <row r="43" spans="2:14" ht="12.7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230080.49761399836</v>
      </c>
      <c r="J43" s="31">
        <f>I43/C5/12</f>
        <v>2.9899999689928314</v>
      </c>
      <c r="K43" s="43">
        <f>J43*C5*3</f>
        <v>57520.12440349959</v>
      </c>
      <c r="L43" s="6">
        <f>J43*C5*6</f>
        <v>115040.24880699918</v>
      </c>
      <c r="M43" s="2">
        <f>J43*C5*9</f>
        <v>172560.37321049877</v>
      </c>
      <c r="N43" s="50">
        <f>J43*C5*12</f>
        <v>230080.49761399836</v>
      </c>
    </row>
    <row r="44" spans="2:14" ht="38.2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76.5">
      <c r="B45" s="1" t="s">
        <v>76</v>
      </c>
      <c r="C45" s="3" t="s">
        <v>195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25269.69597690074</v>
      </c>
      <c r="J45" s="30">
        <f>I45/C5/12</f>
        <v>0.3283911108109258</v>
      </c>
      <c r="K45" s="42">
        <f>J45*C5*3</f>
        <v>6317.423994225185</v>
      </c>
      <c r="L45" s="7">
        <f>J45*C5*6</f>
        <v>12634.84798845037</v>
      </c>
      <c r="M45" s="1">
        <f>J45*C5*9</f>
        <v>18952.271982675557</v>
      </c>
      <c r="N45" s="1">
        <f>J45*C5*12</f>
        <v>25269.69597690074</v>
      </c>
    </row>
    <row r="46" spans="2:14" ht="63.75">
      <c r="B46" s="1" t="s">
        <v>78</v>
      </c>
      <c r="C46" s="3" t="s">
        <v>477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8591.680682243994</v>
      </c>
      <c r="J46" s="30">
        <f>I46/C5/12</f>
        <v>0.11165277039953209</v>
      </c>
      <c r="K46" s="42">
        <f>J46*C5*3</f>
        <v>2147.9201705609985</v>
      </c>
      <c r="L46" s="7">
        <f>J46*C5*6</f>
        <v>4295.840341121997</v>
      </c>
      <c r="M46" s="1">
        <f>J46*C5*9</f>
        <v>6443.7605116829955</v>
      </c>
      <c r="N46" s="1">
        <f>J46*C5*12</f>
        <v>8591.680682243994</v>
      </c>
    </row>
    <row r="47" spans="2:14" ht="89.2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5048.714629836082</v>
      </c>
      <c r="J47" s="30">
        <f>I47/C5/12</f>
        <v>0.06561032657356831</v>
      </c>
      <c r="K47" s="42">
        <f>J47*C5*3</f>
        <v>1262.1786574590205</v>
      </c>
      <c r="L47" s="7">
        <f>J47*C5*6</f>
        <v>2524.357314918041</v>
      </c>
      <c r="M47" s="1">
        <f>J47*C5*9</f>
        <v>3786.535972377061</v>
      </c>
      <c r="N47" s="1">
        <f>J47*C5*12</f>
        <v>5048.714629836082</v>
      </c>
    </row>
    <row r="48" spans="2:14" ht="12.75">
      <c r="B48" s="1"/>
      <c r="C48" s="4" t="s">
        <v>270</v>
      </c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4" t="s">
        <v>264</v>
      </c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38910.09128898082</v>
      </c>
      <c r="J50" s="31">
        <f t="shared" si="2"/>
        <v>0.5056542077840263</v>
      </c>
      <c r="K50" s="43">
        <f t="shared" si="2"/>
        <v>9727.522822245204</v>
      </c>
      <c r="L50" s="6">
        <f t="shared" si="2"/>
        <v>19455.04564449041</v>
      </c>
      <c r="M50" s="2">
        <f t="shared" si="2"/>
        <v>29182.56846673561</v>
      </c>
      <c r="N50" s="2">
        <f t="shared" si="2"/>
        <v>38910.09128898082</v>
      </c>
    </row>
    <row r="51" spans="2:14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25.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30221.913698084143</v>
      </c>
      <c r="J52" s="30">
        <f>I52/C5/12</f>
        <v>0.3927474164793261</v>
      </c>
      <c r="K52" s="42">
        <f>J52*C5*3</f>
        <v>7555.478424521036</v>
      </c>
      <c r="L52" s="7">
        <f>J52*C5*6</f>
        <v>15110.956849042072</v>
      </c>
      <c r="M52" s="1">
        <f>J52*C5*9</f>
        <v>22666.435273563107</v>
      </c>
      <c r="N52" s="1">
        <f>J52*C5*12</f>
        <v>30221.913698084143</v>
      </c>
    </row>
    <row r="53" spans="2:14" ht="38.25">
      <c r="B53" s="1" t="s">
        <v>84</v>
      </c>
      <c r="C53" s="3" t="s">
        <v>387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10275.452213436633</v>
      </c>
      <c r="J53" s="30">
        <f>I53/C5/12</f>
        <v>0.13353414182503745</v>
      </c>
      <c r="K53" s="42">
        <f>J53*C5*3</f>
        <v>2568.8630533591577</v>
      </c>
      <c r="L53" s="7">
        <f>J53*C5*6</f>
        <v>5137.726106718315</v>
      </c>
      <c r="M53" s="1">
        <f>J53*C5*9</f>
        <v>7706.589160077474</v>
      </c>
      <c r="N53" s="1">
        <f>J53*C5*12</f>
        <v>10275.45221343663</v>
      </c>
    </row>
    <row r="54" spans="2:14" ht="51">
      <c r="B54" s="1" t="s">
        <v>86</v>
      </c>
      <c r="C54" s="3" t="s">
        <v>87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20194.852035644224</v>
      </c>
      <c r="J54" s="30">
        <f>I54/C5/12</f>
        <v>0.26244122203566245</v>
      </c>
      <c r="K54" s="42">
        <f>J54*C5*3</f>
        <v>5048.713008911056</v>
      </c>
      <c r="L54" s="7">
        <f>J54*C5*6</f>
        <v>10097.426017822112</v>
      </c>
      <c r="M54" s="1">
        <f>J54*C5*9</f>
        <v>15146.139026733168</v>
      </c>
      <c r="N54" s="1">
        <f>J54*C5*12</f>
        <v>20194.852035644224</v>
      </c>
    </row>
    <row r="55" spans="2:14" ht="25.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38.2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63.75">
      <c r="B57" s="1" t="s">
        <v>91</v>
      </c>
      <c r="C57" s="3" t="s">
        <v>196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3"/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60692.217947165</v>
      </c>
      <c r="J59" s="31">
        <f t="shared" si="3"/>
        <v>0.788722780340026</v>
      </c>
      <c r="K59" s="43">
        <f t="shared" si="3"/>
        <v>15173.054486791249</v>
      </c>
      <c r="L59" s="6">
        <f t="shared" si="3"/>
        <v>30346.108973582497</v>
      </c>
      <c r="M59" s="2">
        <f t="shared" si="3"/>
        <v>45519.16346037375</v>
      </c>
      <c r="N59" s="2">
        <f t="shared" si="3"/>
        <v>60692.217947164994</v>
      </c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63.75">
      <c r="B61" s="1" t="s">
        <v>96</v>
      </c>
      <c r="C61" s="4" t="s">
        <v>343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137326.34374874242</v>
      </c>
      <c r="J61" s="30">
        <f>I61/C5/12</f>
        <v>1.7846178524852816</v>
      </c>
      <c r="K61" s="42">
        <f>J61*C5*3</f>
        <v>34331.585937185606</v>
      </c>
      <c r="L61" s="7">
        <f>J61*C5*6</f>
        <v>68663.17187437121</v>
      </c>
      <c r="M61" s="1">
        <f>J61*C5*9</f>
        <v>102994.75781155682</v>
      </c>
      <c r="N61" s="1">
        <f>J61*C5*12</f>
        <v>137326.34374874242</v>
      </c>
    </row>
    <row r="62" spans="2:14" ht="51">
      <c r="B62" s="1" t="s">
        <v>98</v>
      </c>
      <c r="C62" s="4" t="s">
        <v>286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46690.959338378474</v>
      </c>
      <c r="J62" s="30">
        <f>I62/C5/12</f>
        <v>0.606770101863268</v>
      </c>
      <c r="K62" s="42">
        <f>J62*C5*3</f>
        <v>11672.739834594617</v>
      </c>
      <c r="L62" s="7">
        <f>J62*C5*6</f>
        <v>23345.479669189233</v>
      </c>
      <c r="M62" s="1">
        <f>J62*C5*9</f>
        <v>35018.219503783854</v>
      </c>
      <c r="N62" s="1">
        <f>J62*C5*12</f>
        <v>46690.95933837847</v>
      </c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32576.936217377504</v>
      </c>
      <c r="J63" s="30">
        <f>I63/C5/12</f>
        <v>0.4233519976267382</v>
      </c>
      <c r="K63" s="42">
        <f>J63*C5*3</f>
        <v>8144.234054344375</v>
      </c>
      <c r="L63" s="7">
        <f>J63*C5*6</f>
        <v>16288.46810868875</v>
      </c>
      <c r="M63" s="1">
        <f>J63*C5*9</f>
        <v>24432.702163033126</v>
      </c>
      <c r="N63" s="1">
        <f>J63*C5*12</f>
        <v>32576.9362173775</v>
      </c>
    </row>
    <row r="64" spans="2:14" ht="25.5">
      <c r="B64" s="1" t="s">
        <v>102</v>
      </c>
      <c r="C64" s="3" t="s">
        <v>288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51">
      <c r="B65" s="1" t="s">
        <v>104</v>
      </c>
      <c r="C65" s="4" t="s">
        <v>403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38.25">
      <c r="B66" s="1" t="s">
        <v>105</v>
      </c>
      <c r="C66" s="3" t="s">
        <v>106</v>
      </c>
      <c r="D66" s="1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216594.23930449842</v>
      </c>
      <c r="J67" s="31">
        <f t="shared" si="4"/>
        <v>2.814739951975288</v>
      </c>
      <c r="K67" s="43">
        <f t="shared" si="4"/>
        <v>54148.55982612459</v>
      </c>
      <c r="L67" s="6">
        <f t="shared" si="4"/>
        <v>108297.11965224918</v>
      </c>
      <c r="M67" s="2">
        <f t="shared" si="4"/>
        <v>162445.6794783738</v>
      </c>
      <c r="N67" s="2">
        <f t="shared" si="4"/>
        <v>216594.23930449836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51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12583.001080566128</v>
      </c>
      <c r="J69" s="30">
        <f>I69/C5/12</f>
        <v>0.1635217814238613</v>
      </c>
      <c r="K69" s="42">
        <f>J69*C5*3</f>
        <v>3145.7502701415315</v>
      </c>
      <c r="L69" s="7">
        <f>J69*C5*6</f>
        <v>6291.500540283063</v>
      </c>
      <c r="M69" s="1">
        <f>J69*C5*9</f>
        <v>9437.250810424595</v>
      </c>
      <c r="N69" s="1">
        <f>J69*C5*12</f>
        <v>12583.001080566126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4278.224127938544</v>
      </c>
      <c r="J70" s="30">
        <f>I70/C5/12</f>
        <v>0.05559745455410714</v>
      </c>
      <c r="K70" s="42">
        <f>J70*C5*3</f>
        <v>1069.556031984636</v>
      </c>
      <c r="L70" s="7">
        <f>J70*C5*6</f>
        <v>2139.112063969272</v>
      </c>
      <c r="M70" s="1">
        <f>J70*C5*9</f>
        <v>3208.6680959539085</v>
      </c>
      <c r="N70" s="1">
        <f>J70*C5*12</f>
        <v>4278.224127938544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3619.6487735417713</v>
      </c>
      <c r="J71" s="30">
        <f>I71/C5/12</f>
        <v>0.04703897041639729</v>
      </c>
      <c r="K71" s="42">
        <f>J71*C5*3</f>
        <v>904.912193385443</v>
      </c>
      <c r="L71" s="7">
        <f>J71*C5*6</f>
        <v>1809.824386770886</v>
      </c>
      <c r="M71" s="1">
        <f>J71*C5*9</f>
        <v>2714.7365801563287</v>
      </c>
      <c r="N71" s="1">
        <f>J71*C5*12</f>
        <v>3619.648773541772</v>
      </c>
    </row>
    <row r="72" spans="2:14" ht="12.75">
      <c r="B72" s="1"/>
      <c r="C72" s="3"/>
      <c r="D72" s="1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22315.50176356643</v>
      </c>
      <c r="J72" s="30">
        <f>I72/C5/12</f>
        <v>0.2900000229183422</v>
      </c>
      <c r="K72" s="42">
        <f>J72*C5*3</f>
        <v>5578.875440891608</v>
      </c>
      <c r="L72" s="7">
        <f>J72*C5*6</f>
        <v>11157.750881783217</v>
      </c>
      <c r="M72" s="1">
        <f>J72*C5*9</f>
        <v>16736.626322674823</v>
      </c>
      <c r="N72" s="1">
        <f>J72*C5*12</f>
        <v>22315.501763566434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42796.37574561287</v>
      </c>
      <c r="J74" s="31">
        <f t="shared" si="5"/>
        <v>0.5561582293127079</v>
      </c>
      <c r="K74" s="43">
        <f t="shared" si="5"/>
        <v>10699.09393640322</v>
      </c>
      <c r="L74" s="6">
        <f t="shared" si="5"/>
        <v>21398.18787280644</v>
      </c>
      <c r="M74" s="2">
        <f t="shared" si="5"/>
        <v>32097.281809209657</v>
      </c>
      <c r="N74" s="2">
        <f t="shared" si="5"/>
        <v>42796.37574561288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770867.7629455901</v>
      </c>
      <c r="J80" s="31">
        <f>J33+J42+J43+J50+J59+J67+J74</f>
        <v>10.017774697148669</v>
      </c>
      <c r="K80" s="43">
        <f>J80*C5*3</f>
        <v>192716.94073639752</v>
      </c>
      <c r="L80" s="6">
        <f>L33+L42+L43+L50+L59+L67+L74</f>
        <v>385433.881472795</v>
      </c>
      <c r="M80" s="2">
        <f>M33+M42+M43+M50+M59+M67+M74</f>
        <v>578150.8222091924</v>
      </c>
      <c r="N80" s="2">
        <f>N33+N42+N43+N50+N59+N67+N74</f>
        <v>770867.76294559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80699.0937283874</v>
      </c>
      <c r="J81" s="30">
        <f>I81/C5/12</f>
        <v>1.0487211660609148</v>
      </c>
      <c r="K81" s="42">
        <f>J81*C5*3</f>
        <v>20174.77343209685</v>
      </c>
      <c r="L81" s="7">
        <f>J81*C5*6</f>
        <v>40349.5468641937</v>
      </c>
      <c r="M81" s="1">
        <f>J81*C5*9</f>
        <v>60524.32029629055</v>
      </c>
      <c r="N81" s="1">
        <f>J81*C5*12</f>
        <v>80699.0937283874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216051.86863598067</v>
      </c>
      <c r="J82" s="30">
        <f>I82/C5/12</f>
        <v>2.807691600207676</v>
      </c>
      <c r="K82" s="42">
        <f>J82*C5*3</f>
        <v>54012.96715899516</v>
      </c>
      <c r="L82" s="7">
        <f>J82*C5*6</f>
        <v>108025.93431799032</v>
      </c>
      <c r="M82" s="1">
        <f>J82*C5*9</f>
        <v>162038.90147698548</v>
      </c>
      <c r="N82" s="1">
        <f>J82*C5*12</f>
        <v>216051.86863598065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1067618.7253099582</v>
      </c>
      <c r="J83" s="31">
        <f>J80+J81+J82</f>
        <v>13.87418746341726</v>
      </c>
      <c r="K83" s="43">
        <f>J83*C5*3</f>
        <v>266904.6813274895</v>
      </c>
      <c r="L83" s="6">
        <f>SUM(L80:L82)</f>
        <v>533809.362654979</v>
      </c>
      <c r="M83" s="2">
        <f>SUM(M80:M82)</f>
        <v>800714.0439824685</v>
      </c>
      <c r="N83" s="2">
        <f>SUM(N80:N82)</f>
        <v>1067618.725309958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53380.935260196115</v>
      </c>
      <c r="J84" s="30">
        <f>I84/C5/12</f>
        <v>0.6937093601065122</v>
      </c>
      <c r="K84" s="42">
        <f>J84*C5*3</f>
        <v>13345.233815049029</v>
      </c>
      <c r="L84" s="7">
        <f>J84*C5*6</f>
        <v>26690.467630098057</v>
      </c>
      <c r="M84" s="1"/>
      <c r="N84" s="1"/>
    </row>
    <row r="85" spans="2:14" ht="12.7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1120999.6605701544</v>
      </c>
      <c r="J85" s="31">
        <f>J83+J84</f>
        <v>14.567896823523771</v>
      </c>
      <c r="K85" s="43">
        <f>J85*C5*3</f>
        <v>280249.91514253855</v>
      </c>
      <c r="L85" s="6">
        <f>SUM(L83:L84)</f>
        <v>560499.8302850771</v>
      </c>
      <c r="M85" s="2">
        <f>M83+M84</f>
        <v>800714.0439824685</v>
      </c>
      <c r="N85" s="2">
        <f>N83+N84</f>
        <v>1067618.725309958</v>
      </c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/>
      <c r="M86" s="2">
        <v>9184.92</v>
      </c>
      <c r="N86" s="2">
        <v>9184.92</v>
      </c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14.95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4">
      <pane xSplit="1" ySplit="15" topLeftCell="B58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Q61" sqref="Q61"/>
    </sheetView>
  </sheetViews>
  <sheetFormatPr defaultColWidth="9.140625" defaultRowHeight="12.75"/>
  <cols>
    <col min="3" max="3" width="36.421875" style="0" customWidth="1"/>
    <col min="4" max="4" width="15.8515625" style="0" hidden="1" customWidth="1"/>
    <col min="5" max="5" width="17.8515625" style="0" hidden="1" customWidth="1"/>
    <col min="6" max="6" width="16.28125" style="0" hidden="1" customWidth="1"/>
    <col min="7" max="7" width="13.8515625" style="0" hidden="1" customWidth="1"/>
    <col min="8" max="8" width="14.140625" style="0" hidden="1" customWidth="1"/>
    <col min="9" max="9" width="11.7109375" style="0" hidden="1" customWidth="1"/>
    <col min="10" max="10" width="12.140625" style="0" hidden="1" customWidth="1"/>
    <col min="11" max="11" width="14.57421875" style="0" hidden="1" customWidth="1"/>
    <col min="12" max="12" width="14.140625" style="0" customWidth="1"/>
    <col min="13" max="13" width="10.140625" style="0" customWidth="1"/>
    <col min="14" max="14" width="10.8515625" style="0" customWidth="1"/>
    <col min="15" max="15" width="12.28125" style="0" customWidth="1"/>
    <col min="16" max="16" width="11.421875" style="0" customWidth="1"/>
    <col min="17" max="17" width="12.421875" style="0" customWidth="1"/>
    <col min="18" max="18" width="13.140625" style="0" customWidth="1"/>
  </cols>
  <sheetData>
    <row r="4" spans="2:3" ht="12.75">
      <c r="B4" s="5" t="s">
        <v>487</v>
      </c>
      <c r="C4" s="5" t="s">
        <v>505</v>
      </c>
    </row>
    <row r="5" spans="2:3" ht="12.75">
      <c r="B5" t="s">
        <v>488</v>
      </c>
      <c r="C5">
        <v>4727</v>
      </c>
    </row>
    <row r="6" spans="2:3" ht="12.75">
      <c r="B6" t="s">
        <v>489</v>
      </c>
      <c r="C6">
        <v>4043</v>
      </c>
    </row>
    <row r="7" spans="2:3" ht="12.75">
      <c r="B7" t="s">
        <v>490</v>
      </c>
      <c r="C7">
        <v>849</v>
      </c>
    </row>
    <row r="8" spans="2:3" ht="12.75">
      <c r="B8" t="s">
        <v>491</v>
      </c>
      <c r="C8">
        <v>720.1</v>
      </c>
    </row>
    <row r="9" spans="2:3" ht="12.75">
      <c r="B9" t="s">
        <v>492</v>
      </c>
      <c r="C9">
        <v>6</v>
      </c>
    </row>
    <row r="10" spans="2:3" ht="12.75">
      <c r="B10" t="s">
        <v>493</v>
      </c>
      <c r="C10">
        <v>89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69648.07306585752</v>
      </c>
      <c r="J27" s="30">
        <f>I27/C5/12</f>
        <v>1.2278413557904506</v>
      </c>
      <c r="K27" s="42">
        <f>J27*C5*3</f>
        <v>17412.01826646438</v>
      </c>
      <c r="L27" s="7">
        <f>J27*C5*6</f>
        <v>34824.03653292876</v>
      </c>
      <c r="M27" s="1">
        <f>J27*C5*9</f>
        <v>52236.05479939314</v>
      </c>
      <c r="N27" s="1">
        <f>J27*C5*12</f>
        <v>69648.07306585752</v>
      </c>
    </row>
    <row r="28" spans="2:14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23680.3429771409</v>
      </c>
      <c r="J28" s="30">
        <f>I28/C5/12</f>
        <v>0.4174660280858349</v>
      </c>
      <c r="K28" s="42">
        <f>J28*C5*3</f>
        <v>5920.085744285225</v>
      </c>
      <c r="L28" s="7">
        <f>J28*C5*6</f>
        <v>11840.17148857045</v>
      </c>
      <c r="M28" s="1">
        <f>J28*C5*9</f>
        <v>17760.257232855674</v>
      </c>
      <c r="N28" s="1">
        <f>J28*C5*12</f>
        <v>23680.3429771409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4733.852944115008</v>
      </c>
      <c r="J29" s="30">
        <f>I29/C5/12</f>
        <v>0.08345414540785219</v>
      </c>
      <c r="K29" s="42">
        <f>J29*C5*3</f>
        <v>1183.463236028752</v>
      </c>
      <c r="L29" s="7">
        <f>J29*C5*6</f>
        <v>2366.926472057504</v>
      </c>
      <c r="M29" s="1">
        <f>J29*C5*9</f>
        <v>3550.3897080862557</v>
      </c>
      <c r="N29" s="1">
        <f>J29*C5*12</f>
        <v>4733.852944115008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7"/>
      <c r="M30" s="1"/>
      <c r="N30" s="1"/>
    </row>
    <row r="31" spans="2:14" ht="25.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98062.26898711342</v>
      </c>
      <c r="J33" s="31">
        <f t="shared" si="0"/>
        <v>1.7287615292841376</v>
      </c>
      <c r="K33" s="43">
        <f t="shared" si="0"/>
        <v>24515.567246778355</v>
      </c>
      <c r="L33" s="6">
        <f t="shared" si="0"/>
        <v>49031.13449355671</v>
      </c>
      <c r="M33" s="2">
        <f t="shared" si="0"/>
        <v>73546.70174033506</v>
      </c>
      <c r="N33" s="2">
        <f t="shared" si="0"/>
        <v>98062.26898711342</v>
      </c>
    </row>
    <row r="34" spans="2:14" ht="38.25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25.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35874.5355911616</v>
      </c>
      <c r="J35" s="30">
        <f>I35/C5/12</f>
        <v>0.6324401592123545</v>
      </c>
      <c r="K35" s="42">
        <f>J35*C5*3</f>
        <v>8968.6338977904</v>
      </c>
      <c r="L35" s="7">
        <f>J35*C5*6</f>
        <v>17937.2677955808</v>
      </c>
      <c r="M35" s="1">
        <f>J35*C5*9</f>
        <v>26905.9016933712</v>
      </c>
      <c r="N35" s="1">
        <f>J35*C5*12</f>
        <v>35874.5355911616</v>
      </c>
    </row>
    <row r="36" spans="2:14" ht="12.75">
      <c r="B36" s="1" t="s">
        <v>63</v>
      </c>
      <c r="C36" s="3" t="s">
        <v>311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12197.343474166903</v>
      </c>
      <c r="J36" s="30">
        <f>I36/C5/12</f>
        <v>0.2150296783401541</v>
      </c>
      <c r="K36" s="42">
        <f>J36*C5*3</f>
        <v>3049.335868541725</v>
      </c>
      <c r="L36" s="7">
        <f>J36*C5*6</f>
        <v>6098.67173708345</v>
      </c>
      <c r="M36" s="1">
        <f>J36*C5*9</f>
        <v>9148.007605625175</v>
      </c>
      <c r="N36" s="1">
        <f>J36*C5*12</f>
        <v>12197.3434741669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5083.195470053409</v>
      </c>
      <c r="J37" s="30">
        <f>I37/C5/12</f>
        <v>0.08961278242108117</v>
      </c>
      <c r="K37" s="42">
        <f>J37*C5*3</f>
        <v>1270.798867513352</v>
      </c>
      <c r="L37" s="7">
        <f>J37*C5*6</f>
        <v>2541.597735026704</v>
      </c>
      <c r="M37" s="1">
        <f>J37*C5*9</f>
        <v>3812.396602540056</v>
      </c>
      <c r="N37" s="1">
        <f>J37*C5*12</f>
        <v>5083.195470053408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2428.5607161357657</v>
      </c>
      <c r="J38" s="30">
        <f>I38/C5/12</f>
        <v>0.04281363648783171</v>
      </c>
      <c r="K38" s="42">
        <f>J38*C5*3</f>
        <v>607.1401790339414</v>
      </c>
      <c r="L38" s="7">
        <f>J38*C5*6</f>
        <v>1214.2803580678828</v>
      </c>
      <c r="M38" s="1">
        <f>J38*C5*9</f>
        <v>1821.4205371018243</v>
      </c>
      <c r="N38" s="1">
        <f>J38*C5*12</f>
        <v>2428.5607161357657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1017.9252503441289</v>
      </c>
      <c r="J41" s="30">
        <f>I41/C5/12</f>
        <v>0.017945230420000863</v>
      </c>
      <c r="K41" s="42">
        <f>J41*C5*3</f>
        <v>254.48131258603223</v>
      </c>
      <c r="L41" s="7">
        <f>J41*C5*6</f>
        <v>508.96262517206446</v>
      </c>
      <c r="M41" s="1">
        <f>J41*C5*9</f>
        <v>763.4439377580967</v>
      </c>
      <c r="N41" s="1">
        <f>J41*C5*12</f>
        <v>1017.9252503441289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56601.560501861815</v>
      </c>
      <c r="J42" s="31">
        <f t="shared" si="1"/>
        <v>0.9978414868814224</v>
      </c>
      <c r="K42" s="43">
        <f t="shared" si="1"/>
        <v>14150.39012546545</v>
      </c>
      <c r="L42" s="6">
        <f t="shared" si="1"/>
        <v>28300.7802509309</v>
      </c>
      <c r="M42" s="2">
        <f t="shared" si="1"/>
        <v>42451.17037639636</v>
      </c>
      <c r="N42" s="2">
        <f t="shared" si="1"/>
        <v>56601.5605018618</v>
      </c>
    </row>
    <row r="43" spans="2:14" ht="12.7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169604.75824114936</v>
      </c>
      <c r="J43" s="31">
        <f>I43/C5/12</f>
        <v>2.9899999689928314</v>
      </c>
      <c r="K43" s="43">
        <f>J43*C5*3</f>
        <v>42401.18956028734</v>
      </c>
      <c r="L43" s="6">
        <f>J43*C5*6</f>
        <v>84802.37912057468</v>
      </c>
      <c r="M43" s="2">
        <f>J43*C5*9</f>
        <v>127203.56868086202</v>
      </c>
      <c r="N43" s="50">
        <f>J43*C5*12</f>
        <v>169604.75824114936</v>
      </c>
    </row>
    <row r="44" spans="2:14" ht="38.2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63.75">
      <c r="B45" s="1" t="s">
        <v>76</v>
      </c>
      <c r="C45" s="3" t="s">
        <v>279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18627.657369638953</v>
      </c>
      <c r="J45" s="30">
        <f>I45/C5/12</f>
        <v>0.32839111081092576</v>
      </c>
      <c r="K45" s="42">
        <f>J45*C5*3</f>
        <v>4656.914342409738</v>
      </c>
      <c r="L45" s="7">
        <f>J45*C5*6</f>
        <v>9313.828684819477</v>
      </c>
      <c r="M45" s="1">
        <f>J45*C5*9</f>
        <v>13970.743027229215</v>
      </c>
      <c r="N45" s="1">
        <f>J45*C5*12</f>
        <v>18627.657369638953</v>
      </c>
    </row>
    <row r="46" spans="2:14" ht="63.75">
      <c r="B46" s="1" t="s">
        <v>78</v>
      </c>
      <c r="C46" s="3" t="s">
        <v>439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6333.391748143058</v>
      </c>
      <c r="J46" s="30">
        <f>I46/C5/12</f>
        <v>0.11165277039953209</v>
      </c>
      <c r="K46" s="42">
        <f>J46*C5*3</f>
        <v>1583.3479370357645</v>
      </c>
      <c r="L46" s="7">
        <f>J46*C5*6</f>
        <v>3166.695874071529</v>
      </c>
      <c r="M46" s="1">
        <f>J46*C5*9</f>
        <v>4750.043811107294</v>
      </c>
      <c r="N46" s="1">
        <f>J46*C5*12</f>
        <v>6333.391748143058</v>
      </c>
    </row>
    <row r="47" spans="2:14" ht="89.2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3721.6801645590895</v>
      </c>
      <c r="J47" s="30">
        <f>I47/C5/12</f>
        <v>0.06561032657356831</v>
      </c>
      <c r="K47" s="42">
        <f>J47*C5*3</f>
        <v>930.4200411397723</v>
      </c>
      <c r="L47" s="7">
        <f>J47*C5*6</f>
        <v>1860.8400822795445</v>
      </c>
      <c r="M47" s="1">
        <f>J47*C5*9</f>
        <v>2791.2601234193166</v>
      </c>
      <c r="N47" s="1">
        <f>J47*C5*12</f>
        <v>3721.680164559089</v>
      </c>
    </row>
    <row r="48" spans="2:14" ht="12.75">
      <c r="B48" s="1"/>
      <c r="C48" s="4" t="s">
        <v>255</v>
      </c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4" t="s">
        <v>271</v>
      </c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28682.7292823411</v>
      </c>
      <c r="J50" s="31">
        <f t="shared" si="2"/>
        <v>0.5056542077840261</v>
      </c>
      <c r="K50" s="43">
        <f t="shared" si="2"/>
        <v>7170.682320585275</v>
      </c>
      <c r="L50" s="6">
        <f t="shared" si="2"/>
        <v>14341.36464117055</v>
      </c>
      <c r="M50" s="2">
        <f t="shared" si="2"/>
        <v>21512.046961755826</v>
      </c>
      <c r="N50" s="2">
        <f t="shared" si="2"/>
        <v>28682.7292823411</v>
      </c>
    </row>
    <row r="51" spans="2:14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25.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22278.204452373295</v>
      </c>
      <c r="J52" s="30">
        <f>I52/C5/12</f>
        <v>0.3927474164793261</v>
      </c>
      <c r="K52" s="42">
        <f>J52*C5*3</f>
        <v>5569.551113093323</v>
      </c>
      <c r="L52" s="7">
        <f>J52*C5*6</f>
        <v>11139.102226186646</v>
      </c>
      <c r="M52" s="1">
        <f>J52*C5*9</f>
        <v>16708.65333927997</v>
      </c>
      <c r="N52" s="1">
        <f>J52*C5*12</f>
        <v>22278.20445237329</v>
      </c>
    </row>
    <row r="53" spans="2:14" ht="38.25">
      <c r="B53" s="1" t="s">
        <v>84</v>
      </c>
      <c r="C53" s="4" t="s">
        <v>440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7574.590660883425</v>
      </c>
      <c r="J53" s="30">
        <f>I53/C5/12</f>
        <v>0.13353414182503745</v>
      </c>
      <c r="K53" s="42">
        <f>J53*C5*3</f>
        <v>1893.647665220856</v>
      </c>
      <c r="L53" s="7">
        <f>J53*C5*6</f>
        <v>3787.295330441712</v>
      </c>
      <c r="M53" s="1">
        <f>J53*C5*9</f>
        <v>5680.942995662568</v>
      </c>
      <c r="N53" s="1">
        <f>J53*C5*12</f>
        <v>7574.590660883424</v>
      </c>
    </row>
    <row r="54" spans="2:14" ht="51">
      <c r="B54" s="1" t="s">
        <v>86</v>
      </c>
      <c r="C54" s="3" t="s">
        <v>87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14886.715878750914</v>
      </c>
      <c r="J54" s="30">
        <f>I54/C5/12</f>
        <v>0.2624412220356624</v>
      </c>
      <c r="K54" s="42">
        <f>J54*C5*3</f>
        <v>3721.678969687728</v>
      </c>
      <c r="L54" s="7">
        <f>J54*C5*6</f>
        <v>7443.357939375456</v>
      </c>
      <c r="M54" s="1">
        <f>J54*C5*9</f>
        <v>11165.036909063185</v>
      </c>
      <c r="N54" s="1">
        <f>J54*C5*12</f>
        <v>14886.715878750912</v>
      </c>
    </row>
    <row r="55" spans="2:14" ht="25.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38.2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63.7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3"/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44739.510992007636</v>
      </c>
      <c r="J59" s="31">
        <f t="shared" si="3"/>
        <v>0.7887227803400259</v>
      </c>
      <c r="K59" s="43">
        <f t="shared" si="3"/>
        <v>11184.877748001907</v>
      </c>
      <c r="L59" s="6">
        <f t="shared" si="3"/>
        <v>22369.755496003814</v>
      </c>
      <c r="M59" s="2">
        <f t="shared" si="3"/>
        <v>33554.63324400572</v>
      </c>
      <c r="N59" s="2">
        <f t="shared" si="3"/>
        <v>44739.51099200763</v>
      </c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76.5">
      <c r="B61" s="1" t="s">
        <v>96</v>
      </c>
      <c r="C61" s="3" t="s">
        <v>296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101230.66306437511</v>
      </c>
      <c r="J61" s="30">
        <f>I61/C5/12</f>
        <v>1.7846178524852816</v>
      </c>
      <c r="K61" s="42">
        <f>J61*C5*3</f>
        <v>25307.665766093778</v>
      </c>
      <c r="L61" s="7">
        <f>J61*C5*6</f>
        <v>50615.331532187556</v>
      </c>
      <c r="M61" s="1">
        <f>J61*C5*9</f>
        <v>75922.99729828133</v>
      </c>
      <c r="N61" s="1">
        <f>J61*C5*12</f>
        <v>101230.66306437511</v>
      </c>
    </row>
    <row r="62" spans="2:14" ht="12.75">
      <c r="B62" s="1" t="s">
        <v>98</v>
      </c>
      <c r="C62" s="3" t="s">
        <v>99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34418.427258092015</v>
      </c>
      <c r="J62" s="30">
        <f>I62/C5/12</f>
        <v>0.606770101863268</v>
      </c>
      <c r="K62" s="42">
        <f>J62*C5*3</f>
        <v>8604.606814523004</v>
      </c>
      <c r="L62" s="7">
        <f>J62*C5*6</f>
        <v>17209.213629046008</v>
      </c>
      <c r="M62" s="1">
        <f>J62*C5*9</f>
        <v>25813.82044356901</v>
      </c>
      <c r="N62" s="1">
        <f>J62*C5*12</f>
        <v>34418.427258092015</v>
      </c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24014.218713379098</v>
      </c>
      <c r="J63" s="30">
        <f>I63/C5/12</f>
        <v>0.4233519976267382</v>
      </c>
      <c r="K63" s="42">
        <f>J63*C5*3</f>
        <v>6003.554678344774</v>
      </c>
      <c r="L63" s="7">
        <f>J63*C5*6</f>
        <v>12007.109356689549</v>
      </c>
      <c r="M63" s="1">
        <f>J63*C5*9</f>
        <v>18010.664035034322</v>
      </c>
      <c r="N63" s="1">
        <f>J63*C5*12</f>
        <v>24014.218713379098</v>
      </c>
    </row>
    <row r="64" spans="2:14" ht="25.5">
      <c r="B64" s="1" t="s">
        <v>102</v>
      </c>
      <c r="C64" s="3" t="s">
        <v>158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63.75">
      <c r="B65" s="1" t="s">
        <v>104</v>
      </c>
      <c r="C65" s="4" t="s">
        <v>413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38.25">
      <c r="B66" s="1" t="s">
        <v>105</v>
      </c>
      <c r="C66" s="3" t="s">
        <v>106</v>
      </c>
      <c r="D66" s="1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159663.3090358462</v>
      </c>
      <c r="J67" s="31">
        <f t="shared" si="4"/>
        <v>2.814739951975288</v>
      </c>
      <c r="K67" s="43">
        <f t="shared" si="4"/>
        <v>39915.82725896155</v>
      </c>
      <c r="L67" s="6">
        <f t="shared" si="4"/>
        <v>79831.6545179231</v>
      </c>
      <c r="M67" s="2">
        <f t="shared" si="4"/>
        <v>119747.48177688467</v>
      </c>
      <c r="N67" s="2">
        <f t="shared" si="4"/>
        <v>159663.3090358462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51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9275.609529487108</v>
      </c>
      <c r="J69" s="30">
        <f>I69/C5/12</f>
        <v>0.16352178142386128</v>
      </c>
      <c r="K69" s="42">
        <f>J69*C5*3</f>
        <v>2318.902382371777</v>
      </c>
      <c r="L69" s="7">
        <f>J69*C5*6</f>
        <v>4637.804764743554</v>
      </c>
      <c r="M69" s="1">
        <f>J69*C5*9</f>
        <v>6956.707147115331</v>
      </c>
      <c r="N69" s="1">
        <f>J69*C5*12</f>
        <v>9275.609529487108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3153.7100121271733</v>
      </c>
      <c r="J70" s="30">
        <f>I70/C5/12</f>
        <v>0.05559745455410714</v>
      </c>
      <c r="K70" s="42">
        <f>J70*C5*3</f>
        <v>788.4275030317933</v>
      </c>
      <c r="L70" s="7">
        <f>J70*C5*6</f>
        <v>1576.8550060635866</v>
      </c>
      <c r="M70" s="1">
        <f>J70*C5*9</f>
        <v>2365.28250909538</v>
      </c>
      <c r="N70" s="1">
        <f>J70*C5*12</f>
        <v>3153.7100121271733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2668.23855789972</v>
      </c>
      <c r="J71" s="30">
        <f>I71/C5/12</f>
        <v>0.04703897041639729</v>
      </c>
      <c r="K71" s="42">
        <f>J71*C5*3</f>
        <v>667.05963947493</v>
      </c>
      <c r="L71" s="7">
        <f>J71*C5*6</f>
        <v>1334.11927894986</v>
      </c>
      <c r="M71" s="1">
        <f>J71*C5*9</f>
        <v>2001.1789184247898</v>
      </c>
      <c r="N71" s="1">
        <f>J71*C5*12</f>
        <v>2668.23855789972</v>
      </c>
    </row>
    <row r="72" spans="2:14" ht="12.75">
      <c r="B72" s="1"/>
      <c r="C72" s="3"/>
      <c r="D72" s="1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16449.96130002004</v>
      </c>
      <c r="J72" s="30">
        <f>I72/C5/12</f>
        <v>0.29000002291834215</v>
      </c>
      <c r="K72" s="42">
        <f>J72*C5*3</f>
        <v>4112.49032500501</v>
      </c>
      <c r="L72" s="7">
        <f>J72*C5*6</f>
        <v>8224.98065001002</v>
      </c>
      <c r="M72" s="1">
        <f>J72*C5*9</f>
        <v>12337.47097501503</v>
      </c>
      <c r="N72" s="1">
        <f>J72*C5*12</f>
        <v>16449.96130002004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31547.51939953404</v>
      </c>
      <c r="J74" s="31">
        <f t="shared" si="5"/>
        <v>0.5561582293127079</v>
      </c>
      <c r="K74" s="43">
        <f t="shared" si="5"/>
        <v>7886.87984988351</v>
      </c>
      <c r="L74" s="6">
        <f t="shared" si="5"/>
        <v>15773.75969976702</v>
      </c>
      <c r="M74" s="2">
        <f t="shared" si="5"/>
        <v>23660.639549650532</v>
      </c>
      <c r="N74" s="2">
        <f t="shared" si="5"/>
        <v>31547.51939953404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588901.6564398536</v>
      </c>
      <c r="J80" s="31">
        <f>J33+J42+J43+J50+J59+J67+J74</f>
        <v>10.381878154570439</v>
      </c>
      <c r="K80" s="43">
        <f>J80*C5*3</f>
        <v>147225.4141099634</v>
      </c>
      <c r="L80" s="6">
        <f>L33+L42+L43+L50+L59+L67+L74</f>
        <v>294450.8282199268</v>
      </c>
      <c r="M80" s="2">
        <f>M33+M42+M43+M50+M59+M67+M74</f>
        <v>441676.2423298902</v>
      </c>
      <c r="N80" s="2">
        <f>N33+N42+N43+N50+N59+N67+N74</f>
        <v>588901.6564398536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61649.78256224823</v>
      </c>
      <c r="J81" s="30">
        <f>I81/C5/12</f>
        <v>1.0868377152924376</v>
      </c>
      <c r="K81" s="42">
        <f>J81*C5*3</f>
        <v>15412.445640562059</v>
      </c>
      <c r="L81" s="7">
        <f>J81*C5*6</f>
        <v>30824.891281124117</v>
      </c>
      <c r="M81" s="1">
        <f>J81*C5*9</f>
        <v>46237.336921686176</v>
      </c>
      <c r="N81" s="1">
        <f>J81*C5*12</f>
        <v>61649.782562248234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165052.04839605562</v>
      </c>
      <c r="J82" s="30">
        <f>I82/C5/12</f>
        <v>2.9097392355273892</v>
      </c>
      <c r="K82" s="42">
        <f>J82*C5*3</f>
        <v>41263.012099013904</v>
      </c>
      <c r="L82" s="7">
        <f>J82*C5*6</f>
        <v>82526.02419802781</v>
      </c>
      <c r="M82" s="1">
        <f>J82*C5*9</f>
        <v>123789.03629704172</v>
      </c>
      <c r="N82" s="1">
        <f>J82*C5*12</f>
        <v>165052.04839605562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815603.4873981574</v>
      </c>
      <c r="J83" s="31">
        <f>J80+J81+J82</f>
        <v>14.378455105390266</v>
      </c>
      <c r="K83" s="43">
        <f>J83*C5*3</f>
        <v>203900.87184953934</v>
      </c>
      <c r="L83" s="6">
        <f>SUM(L80:L82)</f>
        <v>407801.7436990787</v>
      </c>
      <c r="M83" s="2">
        <f>SUM(M80:M82)</f>
        <v>611702.6155486181</v>
      </c>
      <c r="N83" s="2">
        <f>SUM(N80:N82)</f>
        <v>815603.4873981574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40780.17360191117</v>
      </c>
      <c r="J84" s="30">
        <f>I84/C5/12</f>
        <v>0.7189227417303288</v>
      </c>
      <c r="K84" s="42">
        <f>J84*C5*3</f>
        <v>10195.043400477793</v>
      </c>
      <c r="L84" s="7">
        <f>J84*C5*6</f>
        <v>20390.086800955585</v>
      </c>
      <c r="M84" s="1"/>
      <c r="N84" s="1"/>
    </row>
    <row r="85" spans="2:14" ht="25.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856383.6610000685</v>
      </c>
      <c r="J85" s="31">
        <f>J83+J84</f>
        <v>15.097377847120594</v>
      </c>
      <c r="K85" s="43">
        <f>J85*C5*3</f>
        <v>214095.91525001713</v>
      </c>
      <c r="L85" s="6">
        <f>SUM(L83:L84)</f>
        <v>428191.83050003427</v>
      </c>
      <c r="M85" s="2">
        <f>M83+M84</f>
        <v>611702.6155486181</v>
      </c>
      <c r="N85" s="2">
        <f>N83+N84</f>
        <v>815603.4873981574</v>
      </c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/>
      <c r="M86" s="2">
        <v>9184.92</v>
      </c>
      <c r="N86" s="2">
        <v>9184.92</v>
      </c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15.18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4">
      <pane xSplit="1" ySplit="15" topLeftCell="B56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P61" sqref="P61"/>
    </sheetView>
  </sheetViews>
  <sheetFormatPr defaultColWidth="9.140625" defaultRowHeight="12.75"/>
  <cols>
    <col min="3" max="3" width="40.421875" style="0" customWidth="1"/>
    <col min="4" max="4" width="15.140625" style="0" hidden="1" customWidth="1"/>
    <col min="5" max="5" width="17.00390625" style="0" hidden="1" customWidth="1"/>
    <col min="6" max="6" width="16.140625" style="0" hidden="1" customWidth="1"/>
    <col min="7" max="7" width="13.8515625" style="0" hidden="1" customWidth="1"/>
    <col min="8" max="8" width="14.57421875" style="0" hidden="1" customWidth="1"/>
    <col min="9" max="9" width="11.7109375" style="0" hidden="1" customWidth="1"/>
    <col min="10" max="10" width="12.00390625" style="0" hidden="1" customWidth="1"/>
    <col min="11" max="11" width="14.7109375" style="0" hidden="1" customWidth="1"/>
    <col min="12" max="12" width="13.00390625" style="0" customWidth="1"/>
    <col min="13" max="13" width="10.28125" style="0" customWidth="1"/>
    <col min="14" max="14" width="10.8515625" style="0" customWidth="1"/>
    <col min="15" max="15" width="13.140625" style="0" customWidth="1"/>
    <col min="16" max="16" width="11.28125" style="0" customWidth="1"/>
    <col min="17" max="17" width="10.28125" style="0" customWidth="1"/>
    <col min="18" max="18" width="13.00390625" style="0" customWidth="1"/>
  </cols>
  <sheetData>
    <row r="4" spans="2:3" ht="12.75">
      <c r="B4" s="5" t="s">
        <v>487</v>
      </c>
      <c r="C4" s="5" t="s">
        <v>504</v>
      </c>
    </row>
    <row r="5" spans="2:3" ht="12.75">
      <c r="B5" t="s">
        <v>488</v>
      </c>
      <c r="C5">
        <v>6522</v>
      </c>
    </row>
    <row r="6" spans="2:3" ht="12.75">
      <c r="B6" t="s">
        <v>489</v>
      </c>
      <c r="C6">
        <v>5569</v>
      </c>
    </row>
    <row r="7" spans="2:3" ht="12.75">
      <c r="B7" t="s">
        <v>490</v>
      </c>
      <c r="C7">
        <v>1635</v>
      </c>
    </row>
    <row r="8" spans="2:3" ht="12.75">
      <c r="B8" t="s">
        <v>491</v>
      </c>
      <c r="C8">
        <v>724</v>
      </c>
    </row>
    <row r="9" spans="2:3" ht="12.75">
      <c r="B9" t="s">
        <v>492</v>
      </c>
      <c r="C9">
        <v>8</v>
      </c>
    </row>
    <row r="10" spans="2:3" ht="12.75">
      <c r="B10" t="s">
        <v>493</v>
      </c>
      <c r="C10">
        <v>119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70025.2810716301</v>
      </c>
      <c r="J27" s="30">
        <f>I27/C5/12</f>
        <v>0.8947316910920743</v>
      </c>
      <c r="K27" s="42">
        <f>J27*C5*3</f>
        <v>17506.320267907526</v>
      </c>
      <c r="L27" s="7">
        <f>J27*C5*6</f>
        <v>35012.64053581505</v>
      </c>
      <c r="M27" s="1">
        <f>J27*C5*9</f>
        <v>52518.96080372258</v>
      </c>
      <c r="N27" s="1">
        <f>J27*C5*12</f>
        <v>70025.2810716301</v>
      </c>
    </row>
    <row r="28" spans="2:14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23808.59368900154</v>
      </c>
      <c r="J28" s="30">
        <f>I28/C5/12</f>
        <v>0.30420875100942374</v>
      </c>
      <c r="K28" s="42">
        <f>J28*C5*3</f>
        <v>5952.148422250384</v>
      </c>
      <c r="L28" s="7">
        <f>J28*C5*6</f>
        <v>11904.296844500768</v>
      </c>
      <c r="M28" s="1">
        <f>J28*C5*9</f>
        <v>17856.445266751154</v>
      </c>
      <c r="N28" s="1">
        <f>J28*C5*12</f>
        <v>23808.593689001536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4759.4910867091585</v>
      </c>
      <c r="J29" s="30">
        <f>I29/C5/12</f>
        <v>0.0608132869098073</v>
      </c>
      <c r="K29" s="42">
        <f>J29*C5*3</f>
        <v>1189.8727716772896</v>
      </c>
      <c r="L29" s="7">
        <f>J29*C5*6</f>
        <v>2379.7455433545792</v>
      </c>
      <c r="M29" s="1">
        <f>J29*C5*9</f>
        <v>3569.618315031869</v>
      </c>
      <c r="N29" s="1">
        <f>J29*C5*12</f>
        <v>4759.4910867091585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7"/>
      <c r="M30" s="1"/>
      <c r="N30" s="1"/>
    </row>
    <row r="31" spans="2:14" ht="38.2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98593.3658473408</v>
      </c>
      <c r="J33" s="31">
        <f t="shared" si="0"/>
        <v>1.2597537290113052</v>
      </c>
      <c r="K33" s="43">
        <f t="shared" si="0"/>
        <v>24648.3414618352</v>
      </c>
      <c r="L33" s="6">
        <f t="shared" si="0"/>
        <v>49296.6829236704</v>
      </c>
      <c r="M33" s="2">
        <f t="shared" si="0"/>
        <v>73945.0243855056</v>
      </c>
      <c r="N33" s="2">
        <f t="shared" si="0"/>
        <v>98593.3658473408</v>
      </c>
    </row>
    <row r="34" spans="2:14" ht="38.25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12.7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52829.14031045139</v>
      </c>
      <c r="J35" s="30">
        <f>I35/C5/12</f>
        <v>0.6750120145974061</v>
      </c>
      <c r="K35" s="42">
        <f>J35*C5*3</f>
        <v>13207.285077612849</v>
      </c>
      <c r="L35" s="7">
        <f>J35*C5*6</f>
        <v>26414.570155225698</v>
      </c>
      <c r="M35" s="1">
        <f>J35*C5*9</f>
        <v>39621.85523283855</v>
      </c>
      <c r="N35" s="1">
        <f>J35*C5*12</f>
        <v>52829.140310451396</v>
      </c>
    </row>
    <row r="36" spans="2:14" ht="12.75">
      <c r="B36" s="1" t="s">
        <v>63</v>
      </c>
      <c r="C36" s="3" t="s">
        <v>311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17961.90972769795</v>
      </c>
      <c r="J36" s="30">
        <f>I36/C5/12</f>
        <v>0.22950411080059732</v>
      </c>
      <c r="K36" s="42">
        <f>J36*C5*3</f>
        <v>4490.477431924487</v>
      </c>
      <c r="L36" s="7">
        <f>J36*C5*6</f>
        <v>8980.954863848974</v>
      </c>
      <c r="M36" s="1">
        <f>J36*C5*9</f>
        <v>13471.432295773462</v>
      </c>
      <c r="N36" s="1">
        <f>J36*C5*12</f>
        <v>17961.90972769795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7485.55604379901</v>
      </c>
      <c r="J37" s="30">
        <f>I37/C5/12</f>
        <v>0.09564494587293021</v>
      </c>
      <c r="K37" s="42">
        <f>J37*C5*3</f>
        <v>1871.3890109497524</v>
      </c>
      <c r="L37" s="7">
        <f>J37*C5*6</f>
        <v>3742.778021899505</v>
      </c>
      <c r="M37" s="1">
        <f>J37*C5*9</f>
        <v>5614.167032849257</v>
      </c>
      <c r="N37" s="1">
        <f>J37*C5*12</f>
        <v>7485.55604379901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3576.318765135334</v>
      </c>
      <c r="J38" s="30">
        <f>I38/C5/12</f>
        <v>0.04569557862025112</v>
      </c>
      <c r="K38" s="42">
        <f>J38*C5*3</f>
        <v>894.0796912838334</v>
      </c>
      <c r="L38" s="7">
        <f>J38*C5*6</f>
        <v>1788.1593825676669</v>
      </c>
      <c r="M38" s="1">
        <f>J38*C5*9</f>
        <v>2682.2390738515005</v>
      </c>
      <c r="N38" s="1">
        <f>J38*C5*12</f>
        <v>3576.3187651353337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25.5">
      <c r="B40" s="1" t="s">
        <v>70</v>
      </c>
      <c r="C40" s="4" t="s">
        <v>151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1404.4655135909475</v>
      </c>
      <c r="J41" s="30">
        <f>I41/C5/12</f>
        <v>0.017945230420000863</v>
      </c>
      <c r="K41" s="42">
        <f>J41*C5*3</f>
        <v>351.11637839773687</v>
      </c>
      <c r="L41" s="7">
        <f>J41*C5*6</f>
        <v>702.2327567954737</v>
      </c>
      <c r="M41" s="1">
        <f>J41*C5*9</f>
        <v>1053.3491351932107</v>
      </c>
      <c r="N41" s="1">
        <f>J41*C5*12</f>
        <v>1404.4655135909475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83257.39036067462</v>
      </c>
      <c r="J42" s="31">
        <f t="shared" si="1"/>
        <v>1.0638018803111857</v>
      </c>
      <c r="K42" s="43">
        <f t="shared" si="1"/>
        <v>20814.347590168658</v>
      </c>
      <c r="L42" s="6">
        <f t="shared" si="1"/>
        <v>41628.695180337316</v>
      </c>
      <c r="M42" s="2">
        <f t="shared" si="1"/>
        <v>62443.04277050598</v>
      </c>
      <c r="N42" s="2">
        <f t="shared" si="1"/>
        <v>83257.39036067463</v>
      </c>
    </row>
    <row r="43" spans="2:14" ht="12.7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234009.35757325494</v>
      </c>
      <c r="J43" s="31">
        <f>I43/C5/12</f>
        <v>2.9899999689928314</v>
      </c>
      <c r="K43" s="43">
        <f>J43*C5*3</f>
        <v>58502.33939331374</v>
      </c>
      <c r="L43" s="6">
        <f>J43*C5*6</f>
        <v>117004.67878662748</v>
      </c>
      <c r="M43" s="2">
        <f>J43*C5*9</f>
        <v>175507.01817994122</v>
      </c>
      <c r="N43" s="50">
        <f>J43*C5*12</f>
        <v>234009.35757325497</v>
      </c>
    </row>
    <row r="44" spans="2:14" ht="25.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51">
      <c r="B45" s="1" t="s">
        <v>76</v>
      </c>
      <c r="C45" s="3" t="s">
        <v>77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25701.201896506296</v>
      </c>
      <c r="J45" s="30">
        <f>I45/C5/12</f>
        <v>0.3283911108109258</v>
      </c>
      <c r="K45" s="42">
        <f>J45*C5*3</f>
        <v>6425.300474126574</v>
      </c>
      <c r="L45" s="7">
        <f>J45*C5*6</f>
        <v>12850.600948253148</v>
      </c>
      <c r="M45" s="1">
        <f>J45*C5*9</f>
        <v>19275.901422379724</v>
      </c>
      <c r="N45" s="1">
        <f>J45*C5*12</f>
        <v>25701.201896506296</v>
      </c>
    </row>
    <row r="46" spans="2:14" ht="63.75">
      <c r="B46" s="1" t="s">
        <v>78</v>
      </c>
      <c r="C46" s="3" t="s">
        <v>438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8738.392422548979</v>
      </c>
      <c r="J46" s="30">
        <f>I46/C5/12</f>
        <v>0.11165277039953209</v>
      </c>
      <c r="K46" s="42">
        <f>J46*C5*3</f>
        <v>2184.5981056372448</v>
      </c>
      <c r="L46" s="7">
        <f>J46*C5*6</f>
        <v>4369.1962112744895</v>
      </c>
      <c r="M46" s="1">
        <f>J46*C5*9</f>
        <v>6553.794316911734</v>
      </c>
      <c r="N46" s="1">
        <f>J46*C5*12</f>
        <v>8738.392422548979</v>
      </c>
    </row>
    <row r="47" spans="2:14" ht="76.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5134.926598953751</v>
      </c>
      <c r="J47" s="30">
        <f>I47/C5/12</f>
        <v>0.06561032657356831</v>
      </c>
      <c r="K47" s="42">
        <f>J47*C5*3</f>
        <v>1283.7316497384377</v>
      </c>
      <c r="L47" s="7">
        <f>J47*C5*6</f>
        <v>2567.4632994768754</v>
      </c>
      <c r="M47" s="1">
        <f>J47*C5*9</f>
        <v>3851.194949215313</v>
      </c>
      <c r="N47" s="1">
        <f>J47*C5*12</f>
        <v>5134.926598953751</v>
      </c>
    </row>
    <row r="48" spans="2:14" ht="12.75">
      <c r="B48" s="1"/>
      <c r="C48" s="4" t="s">
        <v>280</v>
      </c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4" t="s">
        <v>256</v>
      </c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39574.52091800903</v>
      </c>
      <c r="J50" s="31">
        <f t="shared" si="2"/>
        <v>0.5056542077840263</v>
      </c>
      <c r="K50" s="43">
        <f t="shared" si="2"/>
        <v>9893.630229502258</v>
      </c>
      <c r="L50" s="6">
        <f t="shared" si="2"/>
        <v>19787.260459004516</v>
      </c>
      <c r="M50" s="2">
        <f t="shared" si="2"/>
        <v>29680.890688506774</v>
      </c>
      <c r="N50" s="2">
        <f t="shared" si="2"/>
        <v>39574.52091800903</v>
      </c>
    </row>
    <row r="51" spans="2:14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25.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30737.98380333798</v>
      </c>
      <c r="J52" s="30">
        <f>I52/C5/12</f>
        <v>0.3927474164793261</v>
      </c>
      <c r="K52" s="42">
        <f>J52*C5*3</f>
        <v>7684.495950834495</v>
      </c>
      <c r="L52" s="7">
        <f>J52*C5*6</f>
        <v>15368.99190166899</v>
      </c>
      <c r="M52" s="1">
        <f>J52*C5*9</f>
        <v>23053.487852503484</v>
      </c>
      <c r="N52" s="1">
        <f>J52*C5*12</f>
        <v>30737.98380333798</v>
      </c>
    </row>
    <row r="53" spans="2:14" ht="25.5">
      <c r="B53" s="1" t="s">
        <v>84</v>
      </c>
      <c r="C53" s="3" t="s">
        <v>85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10450.916075794732</v>
      </c>
      <c r="J53" s="30">
        <f>I53/C5/12</f>
        <v>0.13353414182503745</v>
      </c>
      <c r="K53" s="42">
        <f>J53*C5*3</f>
        <v>2612.7290189486826</v>
      </c>
      <c r="L53" s="7">
        <f>J53*C5*6</f>
        <v>5225.458037897365</v>
      </c>
      <c r="M53" s="1">
        <f>J53*C5*9</f>
        <v>7838.187056846048</v>
      </c>
      <c r="N53" s="1">
        <f>J53*C5*12</f>
        <v>10450.91607579473</v>
      </c>
    </row>
    <row r="54" spans="2:14" ht="38.25">
      <c r="B54" s="1" t="s">
        <v>86</v>
      </c>
      <c r="C54" s="3" t="s">
        <v>87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20539.69980139908</v>
      </c>
      <c r="J54" s="30">
        <f>I54/C5/12</f>
        <v>0.2624412220356624</v>
      </c>
      <c r="K54" s="42">
        <f>J54*C5*3</f>
        <v>5134.92495034977</v>
      </c>
      <c r="L54" s="7">
        <f>J54*C5*6</f>
        <v>10269.84990069954</v>
      </c>
      <c r="M54" s="1">
        <f>J54*C5*9</f>
        <v>15404.774851049311</v>
      </c>
      <c r="N54" s="1">
        <f>J54*C5*12</f>
        <v>20539.69980139908</v>
      </c>
    </row>
    <row r="55" spans="2:14" ht="25.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25.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63.7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3"/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61728.59968053179</v>
      </c>
      <c r="J59" s="31">
        <f t="shared" si="3"/>
        <v>0.7887227803400259</v>
      </c>
      <c r="K59" s="43">
        <f t="shared" si="3"/>
        <v>15432.149920132948</v>
      </c>
      <c r="L59" s="6">
        <f t="shared" si="3"/>
        <v>30864.299840265896</v>
      </c>
      <c r="M59" s="2">
        <f t="shared" si="3"/>
        <v>46296.44976039884</v>
      </c>
      <c r="N59" s="2">
        <f t="shared" si="3"/>
        <v>61728.59968053179</v>
      </c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51">
      <c r="B61" s="1" t="s">
        <v>96</v>
      </c>
      <c r="C61" s="4" t="s">
        <v>294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139671.3316069081</v>
      </c>
      <c r="J61" s="30">
        <f>I61/C5/12</f>
        <v>1.7846178524852816</v>
      </c>
      <c r="K61" s="42">
        <f>J61*C5*3</f>
        <v>34917.83290172702</v>
      </c>
      <c r="L61" s="7">
        <f>J61*C5*6</f>
        <v>69835.66580345405</v>
      </c>
      <c r="M61" s="1">
        <f>J61*C5*9</f>
        <v>104753.49870518106</v>
      </c>
      <c r="N61" s="1">
        <f>J61*C5*12</f>
        <v>139671.3316069081</v>
      </c>
    </row>
    <row r="62" spans="2:14" ht="38.25">
      <c r="B62" s="1" t="s">
        <v>98</v>
      </c>
      <c r="C62" s="3" t="s">
        <v>295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47488.25525222681</v>
      </c>
      <c r="J62" s="30">
        <f>I62/C5/12</f>
        <v>0.606770101863268</v>
      </c>
      <c r="K62" s="42">
        <f>J62*C5*3</f>
        <v>11872.063813056702</v>
      </c>
      <c r="L62" s="7">
        <f>J62*C5*6</f>
        <v>23744.127626113404</v>
      </c>
      <c r="M62" s="1">
        <f>J62*C5*9</f>
        <v>35616.19143917011</v>
      </c>
      <c r="N62" s="1">
        <f>J62*C5*12</f>
        <v>47488.25525222681</v>
      </c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33133.220742259036</v>
      </c>
      <c r="J63" s="30">
        <f>I63/C5/12</f>
        <v>0.42335199762673814</v>
      </c>
      <c r="K63" s="42">
        <f>J63*C5*3</f>
        <v>8283.305185564759</v>
      </c>
      <c r="L63" s="7">
        <f>J63*C5*6</f>
        <v>16566.610371129518</v>
      </c>
      <c r="M63" s="1">
        <f>J63*C5*9</f>
        <v>24849.915556694275</v>
      </c>
      <c r="N63" s="1">
        <f>J63*C5*12</f>
        <v>33133.220742259036</v>
      </c>
    </row>
    <row r="64" spans="2:14" ht="25.5">
      <c r="B64" s="1" t="s">
        <v>102</v>
      </c>
      <c r="C64" s="3" t="s">
        <v>293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51">
      <c r="B65" s="1" t="s">
        <v>104</v>
      </c>
      <c r="C65" s="4" t="s">
        <v>412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38.25">
      <c r="B66" s="1" t="s">
        <v>105</v>
      </c>
      <c r="C66" s="3" t="s">
        <v>106</v>
      </c>
      <c r="D66" s="1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220292.80760139393</v>
      </c>
      <c r="J67" s="31">
        <f t="shared" si="4"/>
        <v>2.8147399519752874</v>
      </c>
      <c r="K67" s="43">
        <f t="shared" si="4"/>
        <v>55073.20190034848</v>
      </c>
      <c r="L67" s="6">
        <f t="shared" si="4"/>
        <v>110146.40380069696</v>
      </c>
      <c r="M67" s="2">
        <f t="shared" si="4"/>
        <v>165219.60570104542</v>
      </c>
      <c r="N67" s="2">
        <f t="shared" si="4"/>
        <v>220292.80760139393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51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12797.868701357082</v>
      </c>
      <c r="J69" s="30">
        <f>I69/C5/12</f>
        <v>0.1635217814238613</v>
      </c>
      <c r="K69" s="42">
        <f>J69*C5*3</f>
        <v>3199.4671753392704</v>
      </c>
      <c r="L69" s="7">
        <f>J69*C5*6</f>
        <v>6398.934350678541</v>
      </c>
      <c r="M69" s="1">
        <f>J69*C5*9</f>
        <v>9598.401526017811</v>
      </c>
      <c r="N69" s="1">
        <f>J69*C5*12</f>
        <v>12797.868701357082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4351.279183222641</v>
      </c>
      <c r="J70" s="30">
        <f>I70/C5/12</f>
        <v>0.05559745455410714</v>
      </c>
      <c r="K70" s="42">
        <f>J70*C5*3</f>
        <v>1087.8197958056603</v>
      </c>
      <c r="L70" s="7">
        <f>J70*C5*6</f>
        <v>2175.6395916113206</v>
      </c>
      <c r="M70" s="1">
        <f>J70*C5*9</f>
        <v>3263.459387416981</v>
      </c>
      <c r="N70" s="1">
        <f>J70*C5*12</f>
        <v>4351.279183222641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3681.4579806689176</v>
      </c>
      <c r="J71" s="30">
        <f>I71/C5/12</f>
        <v>0.04703897041639729</v>
      </c>
      <c r="K71" s="42">
        <f>J71*C5*3</f>
        <v>920.3644951672295</v>
      </c>
      <c r="L71" s="7">
        <f>J71*C5*6</f>
        <v>1840.728990334459</v>
      </c>
      <c r="M71" s="1">
        <f>J71*C5*9</f>
        <v>2761.0934855016885</v>
      </c>
      <c r="N71" s="1">
        <f>J71*C5*12</f>
        <v>3681.457980668918</v>
      </c>
    </row>
    <row r="72" spans="2:14" ht="12.75">
      <c r="B72" s="1"/>
      <c r="C72" s="3"/>
      <c r="D72" s="1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22696.56179368113</v>
      </c>
      <c r="J72" s="30">
        <f>I72/C5/12</f>
        <v>0.29000002291834215</v>
      </c>
      <c r="K72" s="42">
        <f>J72*C5*3</f>
        <v>5674.140448420283</v>
      </c>
      <c r="L72" s="7">
        <f>J72*C5*6</f>
        <v>11348.280896840566</v>
      </c>
      <c r="M72" s="1">
        <f>J72*C5*9</f>
        <v>17022.42134526085</v>
      </c>
      <c r="N72" s="1">
        <f>J72*C5*12</f>
        <v>22696.561793681132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43527.16765892977</v>
      </c>
      <c r="J74" s="31">
        <f t="shared" si="5"/>
        <v>0.5561582293127079</v>
      </c>
      <c r="K74" s="43">
        <f t="shared" si="5"/>
        <v>10881.791914732443</v>
      </c>
      <c r="L74" s="6">
        <f t="shared" si="5"/>
        <v>21763.583829464886</v>
      </c>
      <c r="M74" s="2">
        <f t="shared" si="5"/>
        <v>32645.37574419733</v>
      </c>
      <c r="N74" s="2">
        <f t="shared" si="5"/>
        <v>43527.16765892977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780983.2096401348</v>
      </c>
      <c r="J80" s="31">
        <f>J33+J42+J43+J50+J59+J67+J74</f>
        <v>9.978830747727368</v>
      </c>
      <c r="K80" s="43">
        <f>J80*C5*3</f>
        <v>195245.8024100337</v>
      </c>
      <c r="L80" s="6">
        <f>L33+L42+L43+L50+L59+L67+L74</f>
        <v>390491.6048200674</v>
      </c>
      <c r="M80" s="2">
        <f>M33+M42+M43+M50+M59+M67+M74</f>
        <v>585737.4072301011</v>
      </c>
      <c r="N80" s="2">
        <f>N33+N42+N43+N50+N59+N67+N74</f>
        <v>780983.2096401348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81758.03978910779</v>
      </c>
      <c r="J81" s="30">
        <f>I81/C5/12</f>
        <v>1.0446442782008047</v>
      </c>
      <c r="K81" s="42">
        <f>J81*C5*3</f>
        <v>20439.509947276943</v>
      </c>
      <c r="L81" s="7">
        <f>J81*C5*6</f>
        <v>40879.01989455389</v>
      </c>
      <c r="M81" s="1">
        <f>J81*C5*9</f>
        <v>61318.52984183084</v>
      </c>
      <c r="N81" s="1">
        <f>J81*C5*12</f>
        <v>81758.03978910777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218886.93486328417</v>
      </c>
      <c r="J82" s="30">
        <f>I82/C5/12</f>
        <v>2.7967767410723217</v>
      </c>
      <c r="K82" s="42">
        <f>J82*C5*3</f>
        <v>54721.73371582105</v>
      </c>
      <c r="L82" s="7">
        <f>J82*C5*6</f>
        <v>109443.4674316421</v>
      </c>
      <c r="M82" s="1">
        <f>J82*C5*9</f>
        <v>164165.20114746314</v>
      </c>
      <c r="N82" s="1">
        <f>J82*C5*12</f>
        <v>218886.9348632842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1081628.1842925267</v>
      </c>
      <c r="J83" s="31">
        <f>J80+J81+J82</f>
        <v>13.820251767000494</v>
      </c>
      <c r="K83" s="43">
        <f>J83*C5*3</f>
        <v>270407.04607313167</v>
      </c>
      <c r="L83" s="6">
        <f>SUM(L80:L82)</f>
        <v>540814.0921462633</v>
      </c>
      <c r="M83" s="2">
        <f>SUM(M80:M82)</f>
        <v>811221.1382193951</v>
      </c>
      <c r="N83" s="2">
        <f>SUM(N80:N82)</f>
        <v>1081628.1842925267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54081.40819613281</v>
      </c>
      <c r="J84" s="30">
        <f>I84/C5/12</f>
        <v>0.6910125753364613</v>
      </c>
      <c r="K84" s="42">
        <f>J84*C5*3</f>
        <v>13520.352049033201</v>
      </c>
      <c r="L84" s="7">
        <f>J84*C5*6</f>
        <v>27040.704098066402</v>
      </c>
      <c r="M84" s="1"/>
      <c r="N84" s="1"/>
    </row>
    <row r="85" spans="2:14" ht="12.7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1135709.5924886595</v>
      </c>
      <c r="J85" s="31">
        <f>J83+J84</f>
        <v>14.511264342336956</v>
      </c>
      <c r="K85" s="43">
        <f>J85*C5*3</f>
        <v>283927.3981221649</v>
      </c>
      <c r="L85" s="6">
        <f>SUM(L83:L84)</f>
        <v>567854.7962443298</v>
      </c>
      <c r="M85" s="2">
        <f>M83+M84</f>
        <v>811221.1382193951</v>
      </c>
      <c r="N85" s="2">
        <f>N83+N84</f>
        <v>1081628.1842925267</v>
      </c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/>
      <c r="M86" s="2">
        <v>18369.84</v>
      </c>
      <c r="N86" s="2">
        <v>18369.84</v>
      </c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15.28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4">
      <pane xSplit="1" ySplit="15" topLeftCell="B61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C61" sqref="C61"/>
    </sheetView>
  </sheetViews>
  <sheetFormatPr defaultColWidth="9.140625" defaultRowHeight="12.75"/>
  <cols>
    <col min="3" max="3" width="42.8515625" style="0" customWidth="1"/>
    <col min="4" max="4" width="15.7109375" style="0" hidden="1" customWidth="1"/>
    <col min="5" max="5" width="17.57421875" style="0" hidden="1" customWidth="1"/>
    <col min="6" max="6" width="15.8515625" style="0" hidden="1" customWidth="1"/>
    <col min="7" max="7" width="16.57421875" style="0" hidden="1" customWidth="1"/>
    <col min="8" max="8" width="13.57421875" style="0" hidden="1" customWidth="1"/>
    <col min="9" max="9" width="13.00390625" style="0" hidden="1" customWidth="1"/>
    <col min="10" max="10" width="11.7109375" style="0" hidden="1" customWidth="1"/>
    <col min="11" max="11" width="14.421875" style="0" hidden="1" customWidth="1"/>
    <col min="12" max="12" width="13.140625" style="0" customWidth="1"/>
    <col min="13" max="13" width="12.00390625" style="0" customWidth="1"/>
    <col min="14" max="14" width="10.7109375" style="0" customWidth="1"/>
    <col min="15" max="15" width="12.7109375" style="0" customWidth="1"/>
    <col min="16" max="16" width="11.28125" style="0" customWidth="1"/>
    <col min="17" max="17" width="10.57421875" style="0" customWidth="1"/>
    <col min="18" max="18" width="12.28125" style="0" customWidth="1"/>
  </cols>
  <sheetData>
    <row r="4" spans="2:3" ht="12.75">
      <c r="B4" s="5" t="s">
        <v>487</v>
      </c>
      <c r="C4" s="5" t="s">
        <v>503</v>
      </c>
    </row>
    <row r="5" spans="2:3" ht="12.75">
      <c r="B5" t="s">
        <v>488</v>
      </c>
      <c r="C5">
        <v>4747.4</v>
      </c>
    </row>
    <row r="6" spans="2:3" ht="12.75">
      <c r="B6" t="s">
        <v>489</v>
      </c>
      <c r="C6">
        <v>4649</v>
      </c>
    </row>
    <row r="7" spans="2:3" ht="12.75">
      <c r="B7" t="s">
        <v>490</v>
      </c>
      <c r="C7">
        <v>881</v>
      </c>
    </row>
    <row r="8" spans="2:3" ht="12.75">
      <c r="B8" t="s">
        <v>491</v>
      </c>
      <c r="C8">
        <v>593</v>
      </c>
    </row>
    <row r="9" spans="2:3" ht="12.75">
      <c r="B9" t="s">
        <v>492</v>
      </c>
      <c r="C9">
        <v>6</v>
      </c>
    </row>
    <row r="10" spans="2:3" ht="12.75">
      <c r="B10" t="s">
        <v>493</v>
      </c>
      <c r="C10">
        <v>89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57354.960877730184</v>
      </c>
      <c r="J27" s="30">
        <f>I27/C5/12</f>
        <v>1.0067784625572276</v>
      </c>
      <c r="K27" s="42">
        <f>J27*C5*3</f>
        <v>14338.740219432548</v>
      </c>
      <c r="L27" s="7">
        <f>J27*C5*6</f>
        <v>28677.480438865095</v>
      </c>
      <c r="M27" s="1">
        <f>J27*C5*9</f>
        <v>43016.22065829764</v>
      </c>
      <c r="N27" s="1">
        <f>J27*C5*12</f>
        <v>57354.96087773019</v>
      </c>
    </row>
    <row r="28" spans="2:14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19500.685162400434</v>
      </c>
      <c r="J28" s="30">
        <f>I28/C5/12</f>
        <v>0.34230465030684226</v>
      </c>
      <c r="K28" s="42">
        <f>J28*C5*3</f>
        <v>4875.1712906001085</v>
      </c>
      <c r="L28" s="7">
        <f>J28*C5*6</f>
        <v>9750.342581200217</v>
      </c>
      <c r="M28" s="1">
        <f>J28*C5*9</f>
        <v>14625.513871800325</v>
      </c>
      <c r="N28" s="1">
        <f>J28*C5*12</f>
        <v>19500.685162400434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3898.312450854325</v>
      </c>
      <c r="J29" s="30">
        <f>I29/C5/12</f>
        <v>0.06842890232643702</v>
      </c>
      <c r="K29" s="42">
        <f>J29*C5*3</f>
        <v>974.5781127135812</v>
      </c>
      <c r="L29" s="7">
        <f>J29*C5*6</f>
        <v>1949.1562254271623</v>
      </c>
      <c r="M29" s="1">
        <f>J29*C5*9</f>
        <v>2923.7343381407436</v>
      </c>
      <c r="N29" s="1">
        <f>J29*C5*12</f>
        <v>3898.3124508543247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7"/>
      <c r="M30" s="1"/>
      <c r="N30" s="1"/>
    </row>
    <row r="31" spans="2:14" ht="38.2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80753.95849098494</v>
      </c>
      <c r="J33" s="31">
        <f t="shared" si="0"/>
        <v>1.417512015190507</v>
      </c>
      <c r="K33" s="43">
        <f t="shared" si="0"/>
        <v>20188.489622746238</v>
      </c>
      <c r="L33" s="6">
        <f t="shared" si="0"/>
        <v>40376.979245492475</v>
      </c>
      <c r="M33" s="2">
        <f t="shared" si="0"/>
        <v>60565.468868238706</v>
      </c>
      <c r="N33" s="2">
        <f t="shared" si="0"/>
        <v>80753.95849098495</v>
      </c>
    </row>
    <row r="34" spans="2:14" ht="38.25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12.7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40553.18516335316</v>
      </c>
      <c r="J35" s="30">
        <f>I35/C5/12</f>
        <v>0.711849032511711</v>
      </c>
      <c r="K35" s="42">
        <f>J35*C5*3</f>
        <v>10138.29629083829</v>
      </c>
      <c r="L35" s="7">
        <f>J35*C5*6</f>
        <v>20276.59258167658</v>
      </c>
      <c r="M35" s="1">
        <f>J35*C5*9</f>
        <v>30414.88887251487</v>
      </c>
      <c r="N35" s="1">
        <f>J35*C5*12</f>
        <v>40553.18516335316</v>
      </c>
    </row>
    <row r="36" spans="2:14" ht="12.75">
      <c r="B36" s="1" t="s">
        <v>63</v>
      </c>
      <c r="C36" s="3" t="s">
        <v>311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13788.08450779701</v>
      </c>
      <c r="J36" s="30">
        <f>I36/C5/12</f>
        <v>0.24202869830147397</v>
      </c>
      <c r="K36" s="42">
        <f>J36*C5*3</f>
        <v>3447.0211269492524</v>
      </c>
      <c r="L36" s="7">
        <f>J36*C5*6</f>
        <v>6894.042253898505</v>
      </c>
      <c r="M36" s="1">
        <f>J36*C5*9</f>
        <v>10341.063380847758</v>
      </c>
      <c r="N36" s="1">
        <f>J36*C5*12</f>
        <v>13788.08450779701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5746.130611078363</v>
      </c>
      <c r="J37" s="30">
        <f>I37/C5/12</f>
        <v>0.10086451901880263</v>
      </c>
      <c r="K37" s="42">
        <f>J37*C5*3</f>
        <v>1436.5326527695906</v>
      </c>
      <c r="L37" s="7">
        <f>J37*C5*6</f>
        <v>2873.0653055391813</v>
      </c>
      <c r="M37" s="1">
        <f>J37*C5*9</f>
        <v>4309.597958308772</v>
      </c>
      <c r="N37" s="1">
        <f>J37*C5*12</f>
        <v>5746.130611078363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2745.286336923709</v>
      </c>
      <c r="J38" s="30">
        <f>I38/C5/12</f>
        <v>0.04818929549022815</v>
      </c>
      <c r="K38" s="42">
        <f>J38*C5*3</f>
        <v>686.3215842309273</v>
      </c>
      <c r="L38" s="7">
        <f>J38*C5*6</f>
        <v>1372.6431684618547</v>
      </c>
      <c r="M38" s="1">
        <f>J38*C5*9</f>
        <v>2058.964752692782</v>
      </c>
      <c r="N38" s="1">
        <f>J38*C5*12</f>
        <v>2745.2863369237093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1022.318242750945</v>
      </c>
      <c r="J41" s="30">
        <f>I41/C5/12</f>
        <v>0.017945230420000863</v>
      </c>
      <c r="K41" s="42">
        <f>J41*C5*3</f>
        <v>255.57956068773626</v>
      </c>
      <c r="L41" s="7">
        <f>J41*C5*6</f>
        <v>511.1591213754725</v>
      </c>
      <c r="M41" s="1">
        <f>J41*C5*9</f>
        <v>766.7386820632088</v>
      </c>
      <c r="N41" s="1">
        <f>J41*C5*12</f>
        <v>1022.318242750945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63855.00486190319</v>
      </c>
      <c r="J42" s="31">
        <f t="shared" si="1"/>
        <v>1.1208767757422167</v>
      </c>
      <c r="K42" s="43">
        <f t="shared" si="1"/>
        <v>15963.751215475797</v>
      </c>
      <c r="L42" s="6">
        <f t="shared" si="1"/>
        <v>31927.502430951594</v>
      </c>
      <c r="M42" s="2">
        <f t="shared" si="1"/>
        <v>47891.253646427394</v>
      </c>
      <c r="N42" s="2">
        <f t="shared" si="1"/>
        <v>63855.00486190319</v>
      </c>
    </row>
    <row r="43" spans="2:14" ht="12.7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170336.71023355878</v>
      </c>
      <c r="J43" s="31">
        <f>I43/C5/12</f>
        <v>2.9899999689928314</v>
      </c>
      <c r="K43" s="43">
        <f>J43*C5*3</f>
        <v>42584.177558389696</v>
      </c>
      <c r="L43" s="6">
        <f>J43*C5*6</f>
        <v>85168.35511677939</v>
      </c>
      <c r="M43" s="2">
        <f>J43*C5*9</f>
        <v>127752.53267516909</v>
      </c>
      <c r="N43" s="50">
        <f>J43*C5*12</f>
        <v>170336.71023355878</v>
      </c>
    </row>
    <row r="44" spans="2:14" ht="25.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51">
      <c r="B45" s="1" t="s">
        <v>76</v>
      </c>
      <c r="C45" s="3" t="s">
        <v>77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18708.047513565467</v>
      </c>
      <c r="J45" s="30">
        <f>I45/C5/12</f>
        <v>0.3283911108109258</v>
      </c>
      <c r="K45" s="42">
        <f>J45*C5*3</f>
        <v>4677.011878391367</v>
      </c>
      <c r="L45" s="7">
        <f>J45*C5*6</f>
        <v>9354.023756782733</v>
      </c>
      <c r="M45" s="1">
        <f>J45*C5*9</f>
        <v>14031.035635174101</v>
      </c>
      <c r="N45" s="1">
        <f>J45*C5*12</f>
        <v>18708.047513565467</v>
      </c>
    </row>
    <row r="46" spans="2:14" ht="38.25">
      <c r="B46" s="1" t="s">
        <v>78</v>
      </c>
      <c r="C46" s="3" t="s">
        <v>79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6360.724346336863</v>
      </c>
      <c r="J46" s="30">
        <f>I46/C5/12</f>
        <v>0.11165277039953209</v>
      </c>
      <c r="K46" s="42">
        <f>J46*C5*3</f>
        <v>1590.1810865842158</v>
      </c>
      <c r="L46" s="7">
        <f>J46*C5*6</f>
        <v>3180.3621731684316</v>
      </c>
      <c r="M46" s="1">
        <f>J46*C5*9</f>
        <v>4770.543259752647</v>
      </c>
      <c r="N46" s="1">
        <f>J46*C5*12</f>
        <v>6360.724346336863</v>
      </c>
    </row>
    <row r="47" spans="2:14" ht="76.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3737.7415725042983</v>
      </c>
      <c r="J47" s="30">
        <f>I47/C5/12</f>
        <v>0.06561032657356831</v>
      </c>
      <c r="K47" s="42">
        <f>J47*C5*3</f>
        <v>934.4353931260746</v>
      </c>
      <c r="L47" s="7">
        <f>J47*C5*6</f>
        <v>1868.8707862521492</v>
      </c>
      <c r="M47" s="1">
        <f>J47*C5*9</f>
        <v>2803.306179378224</v>
      </c>
      <c r="N47" s="1">
        <f>J47*C5*12</f>
        <v>3737.7415725042983</v>
      </c>
    </row>
    <row r="48" spans="2:14" ht="12.75">
      <c r="B48" s="1"/>
      <c r="C48" s="4" t="s">
        <v>281</v>
      </c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4" t="s">
        <v>257</v>
      </c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28806.513432406628</v>
      </c>
      <c r="J50" s="31">
        <f t="shared" si="2"/>
        <v>0.5056542077840263</v>
      </c>
      <c r="K50" s="43">
        <f t="shared" si="2"/>
        <v>7201.628358101657</v>
      </c>
      <c r="L50" s="6">
        <f t="shared" si="2"/>
        <v>14403.256716203314</v>
      </c>
      <c r="M50" s="2">
        <f t="shared" si="2"/>
        <v>21604.885074304973</v>
      </c>
      <c r="N50" s="2">
        <f t="shared" si="2"/>
        <v>28806.513432406628</v>
      </c>
    </row>
    <row r="51" spans="2:14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25.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22374.34901992743</v>
      </c>
      <c r="J52" s="30">
        <f>I52/C5/12</f>
        <v>0.3927474164793261</v>
      </c>
      <c r="K52" s="42">
        <f>J52*C5*3</f>
        <v>5593.587254981858</v>
      </c>
      <c r="L52" s="7">
        <f>J52*C5*6</f>
        <v>11187.174509963716</v>
      </c>
      <c r="M52" s="1">
        <f>J52*C5*9</f>
        <v>16780.761764945575</v>
      </c>
      <c r="N52" s="1">
        <f>J52*C5*12</f>
        <v>22374.34901992743</v>
      </c>
    </row>
    <row r="53" spans="2:14" ht="25.5">
      <c r="B53" s="1" t="s">
        <v>84</v>
      </c>
      <c r="C53" s="3" t="s">
        <v>85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7607.279818802193</v>
      </c>
      <c r="J53" s="30">
        <f>I53/C5/12</f>
        <v>0.13353414182503745</v>
      </c>
      <c r="K53" s="42">
        <f>J53*C5*3</f>
        <v>1901.8199547005481</v>
      </c>
      <c r="L53" s="7">
        <f>J53*C5*6</f>
        <v>3803.6399094010962</v>
      </c>
      <c r="M53" s="1">
        <f>J53*C5*9</f>
        <v>5705.459864101645</v>
      </c>
      <c r="N53" s="1">
        <f>J53*C5*12</f>
        <v>7607.2798188021925</v>
      </c>
    </row>
    <row r="54" spans="2:14" ht="38.25">
      <c r="B54" s="1" t="s">
        <v>86</v>
      </c>
      <c r="C54" s="3" t="s">
        <v>87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14950.961489905243</v>
      </c>
      <c r="J54" s="30">
        <f>I54/C5/12</f>
        <v>0.2624412220356624</v>
      </c>
      <c r="K54" s="42">
        <f>J54*C5*3</f>
        <v>3737.7403724763108</v>
      </c>
      <c r="L54" s="7">
        <f>J54*C5*6</f>
        <v>7475.4807449526215</v>
      </c>
      <c r="M54" s="1">
        <f>J54*C5*9</f>
        <v>11213.221117428933</v>
      </c>
      <c r="N54" s="1">
        <f>J54*C5*12</f>
        <v>14950.961489905243</v>
      </c>
    </row>
    <row r="55" spans="2:14" ht="25.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25.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51">
      <c r="B57" s="1" t="s">
        <v>91</v>
      </c>
      <c r="C57" s="3" t="s">
        <v>206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25.5">
      <c r="B58" s="1" t="s">
        <v>93</v>
      </c>
      <c r="C58" s="3" t="s">
        <v>94</v>
      </c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44932.59032863486</v>
      </c>
      <c r="J59" s="31">
        <f t="shared" si="3"/>
        <v>0.7887227803400259</v>
      </c>
      <c r="K59" s="43">
        <f t="shared" si="3"/>
        <v>11233.147582158716</v>
      </c>
      <c r="L59" s="6">
        <f t="shared" si="3"/>
        <v>22466.29516431743</v>
      </c>
      <c r="M59" s="2">
        <f t="shared" si="3"/>
        <v>33699.442746476154</v>
      </c>
      <c r="N59" s="2">
        <f t="shared" si="3"/>
        <v>44932.59032863486</v>
      </c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63.75">
      <c r="B61" s="1" t="s">
        <v>96</v>
      </c>
      <c r="C61" s="4" t="s">
        <v>292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101667.5375146635</v>
      </c>
      <c r="J61" s="30">
        <f>I61/C5/12</f>
        <v>1.7846178524852816</v>
      </c>
      <c r="K61" s="42">
        <f>J61*C5*3</f>
        <v>25416.884378665876</v>
      </c>
      <c r="L61" s="7">
        <f>J61*C5*6</f>
        <v>50833.76875733175</v>
      </c>
      <c r="M61" s="1">
        <f>J61*C5*9</f>
        <v>76250.65313599764</v>
      </c>
      <c r="N61" s="1">
        <f>J61*C5*12</f>
        <v>101667.5375146635</v>
      </c>
    </row>
    <row r="62" spans="2:14" ht="12.75">
      <c r="B62" s="1" t="s">
        <v>98</v>
      </c>
      <c r="C62" s="3" t="s">
        <v>99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34566.96457902814</v>
      </c>
      <c r="J62" s="30">
        <f>I62/C5/12</f>
        <v>0.6067701018632681</v>
      </c>
      <c r="K62" s="42">
        <f>J62*C5*3</f>
        <v>8641.741144757036</v>
      </c>
      <c r="L62" s="7">
        <f>J62*C5*6</f>
        <v>17283.48228951407</v>
      </c>
      <c r="M62" s="1">
        <f>J62*C5*9</f>
        <v>25925.223434271105</v>
      </c>
      <c r="N62" s="1">
        <f>J62*C5*12</f>
        <v>34566.96457902814</v>
      </c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24117.855282398123</v>
      </c>
      <c r="J63" s="30">
        <f>I63/C5/12</f>
        <v>0.4233519976267382</v>
      </c>
      <c r="K63" s="42">
        <f>J63*C5*3</f>
        <v>6029.463820599531</v>
      </c>
      <c r="L63" s="7">
        <f>J63*C5*6</f>
        <v>12058.927641199061</v>
      </c>
      <c r="M63" s="1">
        <f>J63*C5*9</f>
        <v>18088.39146179859</v>
      </c>
      <c r="N63" s="1">
        <f>J63*C5*12</f>
        <v>24117.855282398123</v>
      </c>
    </row>
    <row r="64" spans="2:14" ht="25.5">
      <c r="B64" s="1" t="s">
        <v>102</v>
      </c>
      <c r="C64" s="3" t="s">
        <v>291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38.25">
      <c r="B65" s="1" t="s">
        <v>104</v>
      </c>
      <c r="C65" s="4" t="s">
        <v>411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38.25">
      <c r="B66" s="1" t="s">
        <v>105</v>
      </c>
      <c r="C66" s="3" t="s">
        <v>106</v>
      </c>
      <c r="D66" s="1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160352.35737608976</v>
      </c>
      <c r="J67" s="31">
        <f t="shared" si="4"/>
        <v>2.814739951975288</v>
      </c>
      <c r="K67" s="43">
        <f t="shared" si="4"/>
        <v>40088.08934402244</v>
      </c>
      <c r="L67" s="6">
        <f t="shared" si="4"/>
        <v>80176.17868804488</v>
      </c>
      <c r="M67" s="2">
        <f t="shared" si="4"/>
        <v>120264.26803206732</v>
      </c>
      <c r="N67" s="2">
        <f t="shared" si="4"/>
        <v>160352.35737608976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51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9315.63966157967</v>
      </c>
      <c r="J69" s="30">
        <f>I69/C5/12</f>
        <v>0.1635217814238613</v>
      </c>
      <c r="K69" s="42">
        <f>J69*C5*3</f>
        <v>2328.9099153949173</v>
      </c>
      <c r="L69" s="7">
        <f>J69*C5*6</f>
        <v>4657.819830789835</v>
      </c>
      <c r="M69" s="1">
        <f>J69*C5*9</f>
        <v>6986.729746184752</v>
      </c>
      <c r="N69" s="1">
        <f>J69*C5*12</f>
        <v>9315.63966157967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3167.3202690020184</v>
      </c>
      <c r="J70" s="30">
        <f>I70/C5/12</f>
        <v>0.05559745455410714</v>
      </c>
      <c r="K70" s="42">
        <f>J70*C5*3</f>
        <v>791.8300672505047</v>
      </c>
      <c r="L70" s="7">
        <f>J70*C5*6</f>
        <v>1583.6601345010095</v>
      </c>
      <c r="M70" s="1">
        <f>J70*C5*9</f>
        <v>2375.490201751514</v>
      </c>
      <c r="N70" s="1">
        <f>J70*C5*12</f>
        <v>3167.320269002019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2679.7536978576536</v>
      </c>
      <c r="J71" s="30">
        <f>I71/C5/12</f>
        <v>0.04703897041639729</v>
      </c>
      <c r="K71" s="42">
        <f>J71*C5*3</f>
        <v>669.9384244644134</v>
      </c>
      <c r="L71" s="7">
        <f>J71*C5*6</f>
        <v>1339.8768489288268</v>
      </c>
      <c r="M71" s="1">
        <f>J71*C5*9</f>
        <v>2009.8152733932404</v>
      </c>
      <c r="N71" s="1">
        <f>J71*C5*12</f>
        <v>2679.7536978576536</v>
      </c>
    </row>
    <row r="72" spans="2:14" ht="12.75">
      <c r="B72" s="1"/>
      <c r="C72" s="3"/>
      <c r="D72" s="1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16520.95330563045</v>
      </c>
      <c r="J72" s="30">
        <f>I72/C5/12</f>
        <v>0.29000002291834215</v>
      </c>
      <c r="K72" s="42">
        <f>J72*C5*3</f>
        <v>4130.2383264076125</v>
      </c>
      <c r="L72" s="7">
        <f>J72*C5*6</f>
        <v>8260.476652815225</v>
      </c>
      <c r="M72" s="1">
        <f>J72*C5*9</f>
        <v>12390.714979222837</v>
      </c>
      <c r="N72" s="1">
        <f>J72*C5*12</f>
        <v>16520.95330563045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31683.66693406979</v>
      </c>
      <c r="J74" s="31">
        <f t="shared" si="5"/>
        <v>0.5561582293127079</v>
      </c>
      <c r="K74" s="43">
        <f t="shared" si="5"/>
        <v>7920.916733517448</v>
      </c>
      <c r="L74" s="6">
        <f t="shared" si="5"/>
        <v>15841.833467034896</v>
      </c>
      <c r="M74" s="2">
        <f t="shared" si="5"/>
        <v>23762.750200552342</v>
      </c>
      <c r="N74" s="2">
        <f t="shared" si="5"/>
        <v>31683.66693406979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580720.8016576481</v>
      </c>
      <c r="J80" s="31">
        <f>J33+J42+J43+J50+J59+J67+J74</f>
        <v>10.193663929337601</v>
      </c>
      <c r="K80" s="43">
        <f>J80*C5*3</f>
        <v>145180.20041441196</v>
      </c>
      <c r="L80" s="6">
        <f>L33+L42+L43+L50+L59+L67+L74</f>
        <v>290360.40082882403</v>
      </c>
      <c r="M80" s="2">
        <f>M33+M42+M43+M50+M59+M67+M74</f>
        <v>435540.601243236</v>
      </c>
      <c r="N80" s="2">
        <f>N33+N42+N43+N50+N59+N67+N74</f>
        <v>580720.8016576481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60793.361268504064</v>
      </c>
      <c r="J81" s="30">
        <f>I81/C5/12</f>
        <v>1.0671343133171853</v>
      </c>
      <c r="K81" s="42">
        <f>J81*C5*3</f>
        <v>15198.340317126018</v>
      </c>
      <c r="L81" s="7">
        <f>J81*C5*6</f>
        <v>30396.680634252036</v>
      </c>
      <c r="M81" s="1">
        <f>J81*C5*9</f>
        <v>45595.02095137805</v>
      </c>
      <c r="N81" s="1">
        <f>J81*C5*12</f>
        <v>60793.36126850407</v>
      </c>
    </row>
    <row r="82" spans="2:14" ht="12.7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162759.19215313622</v>
      </c>
      <c r="J82" s="30">
        <f>I82/C5/12</f>
        <v>2.856988248885991</v>
      </c>
      <c r="K82" s="42">
        <f>J82*C5*3</f>
        <v>40689.798038284054</v>
      </c>
      <c r="L82" s="7">
        <f>J82*C5*6</f>
        <v>81379.59607656811</v>
      </c>
      <c r="M82" s="1">
        <f>J82*C5*9</f>
        <v>122069.39411485216</v>
      </c>
      <c r="N82" s="1">
        <f>J82*C5*12</f>
        <v>162759.19215313622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804273.3550792884</v>
      </c>
      <c r="J83" s="31">
        <f>J80+J81+J82</f>
        <v>14.117786491540777</v>
      </c>
      <c r="K83" s="43">
        <f>J83*C5*3</f>
        <v>201068.33876982203</v>
      </c>
      <c r="L83" s="6">
        <f>SUM(L80:L82)</f>
        <v>402136.6775396442</v>
      </c>
      <c r="M83" s="2">
        <f>SUM(M80:M82)</f>
        <v>603205.0163094662</v>
      </c>
      <c r="N83" s="2">
        <f>SUM(N80:N82)</f>
        <v>804273.3550792884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40213.666996636515</v>
      </c>
      <c r="J84" s="30">
        <f>I84/C5/12</f>
        <v>0.705889311283308</v>
      </c>
      <c r="K84" s="42">
        <f>J84*C5*3</f>
        <v>10053.416749159129</v>
      </c>
      <c r="L84" s="7">
        <f>J84*C5*6</f>
        <v>20106.833498318258</v>
      </c>
      <c r="M84" s="1"/>
      <c r="N84" s="1"/>
    </row>
    <row r="85" spans="2:14" ht="12.7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844487.0220759249</v>
      </c>
      <c r="J85" s="31">
        <f>J83+J84</f>
        <v>14.823675802824084</v>
      </c>
      <c r="K85" s="43">
        <f>J85*C5*3</f>
        <v>211121.75551898117</v>
      </c>
      <c r="L85" s="6">
        <f>SUM(L83:L84)</f>
        <v>422243.51103796245</v>
      </c>
      <c r="M85" s="2">
        <f>M83+M84</f>
        <v>603205.0163094662</v>
      </c>
      <c r="N85" s="2">
        <f>N83+N84</f>
        <v>804273.3550792884</v>
      </c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/>
      <c r="M86" s="2">
        <v>9184.92</v>
      </c>
      <c r="N86" s="2">
        <v>9184.92</v>
      </c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15.03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4">
      <pane xSplit="1" ySplit="15" topLeftCell="B58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V66" sqref="V66"/>
    </sheetView>
  </sheetViews>
  <sheetFormatPr defaultColWidth="9.140625" defaultRowHeight="12.75"/>
  <cols>
    <col min="3" max="3" width="31.8515625" style="0" customWidth="1"/>
    <col min="4" max="4" width="17.140625" style="0" hidden="1" customWidth="1"/>
    <col min="5" max="5" width="14.57421875" style="0" hidden="1" customWidth="1"/>
    <col min="6" max="8" width="0" style="0" hidden="1" customWidth="1"/>
    <col min="9" max="9" width="13.421875" style="0" hidden="1" customWidth="1"/>
    <col min="10" max="10" width="11.00390625" style="0" hidden="1" customWidth="1"/>
    <col min="11" max="11" width="12.57421875" style="0" hidden="1" customWidth="1"/>
    <col min="12" max="12" width="12.140625" style="0" customWidth="1"/>
    <col min="13" max="13" width="10.8515625" style="0" customWidth="1"/>
  </cols>
  <sheetData>
    <row r="4" spans="2:3" ht="12.75">
      <c r="B4" s="5" t="s">
        <v>487</v>
      </c>
      <c r="C4" s="5" t="s">
        <v>141</v>
      </c>
    </row>
    <row r="5" spans="2:3" ht="12.75">
      <c r="B5" t="s">
        <v>488</v>
      </c>
      <c r="C5">
        <v>3885</v>
      </c>
    </row>
    <row r="6" spans="2:3" ht="12.75">
      <c r="B6" t="s">
        <v>489</v>
      </c>
      <c r="C6">
        <v>3085</v>
      </c>
    </row>
    <row r="7" spans="2:3" ht="12.75">
      <c r="B7" t="s">
        <v>490</v>
      </c>
      <c r="C7">
        <v>721</v>
      </c>
    </row>
    <row r="8" spans="2:3" ht="12.75">
      <c r="B8" t="s">
        <v>491</v>
      </c>
      <c r="C8">
        <v>429.3</v>
      </c>
    </row>
    <row r="9" spans="2:3" ht="12.75">
      <c r="B9" t="s">
        <v>492</v>
      </c>
      <c r="C9">
        <v>5</v>
      </c>
    </row>
    <row r="10" spans="2:3" ht="12.75">
      <c r="B10" t="s">
        <v>493</v>
      </c>
      <c r="C10">
        <v>109</v>
      </c>
    </row>
    <row r="11" spans="2:3" ht="12.75">
      <c r="B11" t="s">
        <v>494</v>
      </c>
      <c r="C11">
        <v>5</v>
      </c>
    </row>
    <row r="12" spans="2:3" ht="12.75">
      <c r="B12" t="s">
        <v>547</v>
      </c>
      <c r="C12">
        <v>2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38.2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41521.896635429286</v>
      </c>
      <c r="J27" s="30">
        <f>I27/C5/12</f>
        <v>0.8906455734755316</v>
      </c>
      <c r="K27" s="42">
        <f>J27*C5*3</f>
        <v>10380.474158857322</v>
      </c>
      <c r="L27" s="44">
        <f>J27*C5*6</f>
        <v>20760.948317714643</v>
      </c>
      <c r="M27" s="1">
        <f>J27*C5*9</f>
        <v>31141.422476571963</v>
      </c>
      <c r="N27" s="1">
        <f>J27*C5*12</f>
        <v>41521.896635429286</v>
      </c>
    </row>
    <row r="28" spans="2:14" ht="38.2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14117.443744044698</v>
      </c>
      <c r="J28" s="30">
        <f>I28/C5/12</f>
        <v>0.3028194711292299</v>
      </c>
      <c r="K28" s="42">
        <f>J28*C5*3</f>
        <v>3529.360936011174</v>
      </c>
      <c r="L28" s="44">
        <f>J28*C5*6</f>
        <v>7058.721872022348</v>
      </c>
      <c r="M28" s="1">
        <f>J28*C5*9</f>
        <v>10588.082808033523</v>
      </c>
      <c r="N28" s="1">
        <f>J28*C5*12</f>
        <v>14117.443744044696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2822.167850171605</v>
      </c>
      <c r="J29" s="30">
        <f>I29/C5/12</f>
        <v>0.060535560921741845</v>
      </c>
      <c r="K29" s="42">
        <f>J29*C5*3</f>
        <v>705.5419625429012</v>
      </c>
      <c r="L29" s="44">
        <f>J29*C5*6</f>
        <v>1411.0839250858023</v>
      </c>
      <c r="M29" s="1">
        <f>J29*C5*9</f>
        <v>2116.6258876287034</v>
      </c>
      <c r="N29" s="1">
        <f>J29*C5*12</f>
        <v>2822.1678501716046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44"/>
      <c r="M30" s="1"/>
      <c r="N30" s="1"/>
    </row>
    <row r="31" spans="2:14" ht="25.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44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44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58461.508229645595</v>
      </c>
      <c r="J33" s="31">
        <f t="shared" si="0"/>
        <v>1.2540006055265034</v>
      </c>
      <c r="K33" s="43">
        <f t="shared" si="0"/>
        <v>14615.377057411397</v>
      </c>
      <c r="L33" s="6">
        <f t="shared" si="0"/>
        <v>29230.754114822794</v>
      </c>
      <c r="M33" s="2">
        <f t="shared" si="0"/>
        <v>43846.13117223419</v>
      </c>
      <c r="N33" s="2">
        <f t="shared" si="0"/>
        <v>58461.50822964559</v>
      </c>
    </row>
    <row r="34" spans="2:14" ht="51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25.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27910.564689280673</v>
      </c>
      <c r="J35" s="30">
        <f>I35/C5/12</f>
        <v>0.5986822112672817</v>
      </c>
      <c r="K35" s="42">
        <f>J35*C5*3</f>
        <v>6977.641172320169</v>
      </c>
      <c r="L35" s="7">
        <f>J35*C5*6</f>
        <v>13955.282344640338</v>
      </c>
      <c r="M35" s="1">
        <f>J35*C5*9</f>
        <v>20932.923516960505</v>
      </c>
      <c r="N35" s="1">
        <f>J35*C5*12</f>
        <v>27910.564689280676</v>
      </c>
    </row>
    <row r="36" spans="2:14" ht="12.75">
      <c r="B36" s="1" t="s">
        <v>63</v>
      </c>
      <c r="C36" s="3" t="s">
        <v>64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9489.59306268995</v>
      </c>
      <c r="J36" s="30">
        <f>I36/C5/12</f>
        <v>0.20355197474667416</v>
      </c>
      <c r="K36" s="42">
        <f>J36*C5*3</f>
        <v>2372.3982656724875</v>
      </c>
      <c r="L36" s="7">
        <f>J36*C5*6</f>
        <v>4744.796531344975</v>
      </c>
      <c r="M36" s="1">
        <f>J36*C5*9</f>
        <v>7117.1947970174615</v>
      </c>
      <c r="N36" s="1">
        <f>J36*C5*12</f>
        <v>9489.59306268995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3954.7510137005875</v>
      </c>
      <c r="J37" s="30">
        <f>I37/C5/12</f>
        <v>0.08482949407337166</v>
      </c>
      <c r="K37" s="42">
        <f>J37*C5*3</f>
        <v>988.6877534251466</v>
      </c>
      <c r="L37" s="7">
        <f>J37*C5*6</f>
        <v>1977.3755068502933</v>
      </c>
      <c r="M37" s="1">
        <f>J37*C5*9</f>
        <v>2966.06326027544</v>
      </c>
      <c r="N37" s="1">
        <f>J37*C5*12</f>
        <v>3954.7510137005866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1889.4321515970407</v>
      </c>
      <c r="J38" s="30">
        <f>I38/C5/12</f>
        <v>0.040528360180116706</v>
      </c>
      <c r="K38" s="42">
        <f>J38*C5*3</f>
        <v>472.35803789926024</v>
      </c>
      <c r="L38" s="7">
        <f>J38*C5*6</f>
        <v>944.7160757985205</v>
      </c>
      <c r="M38" s="1">
        <f>J38*C5*9</f>
        <v>1417.0741136977808</v>
      </c>
      <c r="N38" s="1">
        <f>J38*C5*12</f>
        <v>1889.432151597041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836.6066421804402</v>
      </c>
      <c r="J41" s="30">
        <f>I41/C5/12</f>
        <v>0.017945230420000863</v>
      </c>
      <c r="K41" s="42">
        <f>J41*C5*3</f>
        <v>209.15166054511008</v>
      </c>
      <c r="L41" s="7">
        <f>J41*C5*6</f>
        <v>418.30332109022015</v>
      </c>
      <c r="M41" s="1">
        <f>J41*C5*9</f>
        <v>627.4549816353302</v>
      </c>
      <c r="N41" s="1">
        <f>J41*C5*12</f>
        <v>836.6066421804403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44080.947559448694</v>
      </c>
      <c r="J42" s="31">
        <f t="shared" si="1"/>
        <v>0.9455372706874452</v>
      </c>
      <c r="K42" s="43">
        <f t="shared" si="1"/>
        <v>11020.236889862175</v>
      </c>
      <c r="L42" s="6">
        <f t="shared" si="1"/>
        <v>22040.47377972435</v>
      </c>
      <c r="M42" s="2">
        <f t="shared" si="1"/>
        <v>33060.71066958652</v>
      </c>
      <c r="N42" s="2">
        <f t="shared" si="1"/>
        <v>44080.9475594487</v>
      </c>
    </row>
    <row r="43" spans="2:14" ht="25.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139393.7985544458</v>
      </c>
      <c r="J43" s="31">
        <f>I43/C5/12</f>
        <v>2.9899999689928314</v>
      </c>
      <c r="K43" s="43">
        <f>J43*C5*3</f>
        <v>34848.44963861145</v>
      </c>
      <c r="L43" s="6">
        <f>J43*C5*6</f>
        <v>69696.8992772229</v>
      </c>
      <c r="M43" s="2">
        <f>J43*C5*9</f>
        <v>104545.34891583434</v>
      </c>
      <c r="N43" s="50">
        <f>J43*C5*12</f>
        <v>139393.7985544458</v>
      </c>
    </row>
    <row r="44" spans="2:14" ht="38.2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63.75">
      <c r="B45" s="1" t="s">
        <v>76</v>
      </c>
      <c r="C45" s="3" t="s">
        <v>77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15309.59358600536</v>
      </c>
      <c r="J45" s="30">
        <f>I45/C5/12</f>
        <v>0.32839111081092576</v>
      </c>
      <c r="K45" s="42">
        <f>J45*C5*3</f>
        <v>3827.3983965013394</v>
      </c>
      <c r="L45" s="7">
        <f>J45*C5*6</f>
        <v>7654.796793002679</v>
      </c>
      <c r="M45" s="1">
        <f>J45*C5*9</f>
        <v>11482.195189504018</v>
      </c>
      <c r="N45" s="1">
        <f>J45*C5*12</f>
        <v>15309.593586005358</v>
      </c>
    </row>
    <row r="46" spans="2:14" ht="76.5">
      <c r="B46" s="1" t="s">
        <v>78</v>
      </c>
      <c r="C46" s="3" t="s">
        <v>437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5205.252156026186</v>
      </c>
      <c r="J46" s="30">
        <f>I46/C5/12</f>
        <v>0.11165277039953209</v>
      </c>
      <c r="K46" s="42">
        <f>J46*C5*3</f>
        <v>1301.3130390065464</v>
      </c>
      <c r="L46" s="7">
        <f>J46*C5*6</f>
        <v>2602.626078013093</v>
      </c>
      <c r="M46" s="1">
        <f>J46*C5*9</f>
        <v>3903.9391170196395</v>
      </c>
      <c r="N46" s="1">
        <f>J46*C5*12</f>
        <v>5205.252156026186</v>
      </c>
    </row>
    <row r="47" spans="2:14" ht="102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3058.753424859755</v>
      </c>
      <c r="J47" s="30">
        <f>I47/C5/12</f>
        <v>0.06561032657356831</v>
      </c>
      <c r="K47" s="42">
        <f>J47*C5*3</f>
        <v>764.6883562149387</v>
      </c>
      <c r="L47" s="7">
        <f>J47*C5*6</f>
        <v>1529.3767124298774</v>
      </c>
      <c r="M47" s="1">
        <f>J47*C5*9</f>
        <v>2294.065068644816</v>
      </c>
      <c r="N47" s="1">
        <f>J47*C5*12</f>
        <v>3058.753424859755</v>
      </c>
    </row>
    <row r="48" spans="2:14" ht="12.75">
      <c r="B48" s="1"/>
      <c r="C48" s="3"/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25.5">
      <c r="B49" s="1"/>
      <c r="C49" s="4" t="s">
        <v>244</v>
      </c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23573.5991668913</v>
      </c>
      <c r="J50" s="31">
        <f t="shared" si="2"/>
        <v>0.5056542077840261</v>
      </c>
      <c r="K50" s="43">
        <f t="shared" si="2"/>
        <v>5893.399791722824</v>
      </c>
      <c r="L50" s="6">
        <f t="shared" si="2"/>
        <v>11786.799583445649</v>
      </c>
      <c r="M50" s="2">
        <f t="shared" si="2"/>
        <v>17680.199375168475</v>
      </c>
      <c r="N50" s="2">
        <f t="shared" si="2"/>
        <v>23573.599166891298</v>
      </c>
    </row>
    <row r="51" spans="2:14" ht="51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38.2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18309.88455626618</v>
      </c>
      <c r="J52" s="30">
        <f>I52/C5/12</f>
        <v>0.3927474164793261</v>
      </c>
      <c r="K52" s="42">
        <f>J52*C5*3</f>
        <v>4577.471139066545</v>
      </c>
      <c r="L52" s="7">
        <f>J52*C5*6</f>
        <v>9154.94227813309</v>
      </c>
      <c r="M52" s="1">
        <f>J52*C5*9</f>
        <v>13732.413417199637</v>
      </c>
      <c r="N52" s="1">
        <f>J52*C5*12</f>
        <v>18309.88455626618</v>
      </c>
    </row>
    <row r="53" spans="2:14" ht="25.5">
      <c r="B53" s="1" t="s">
        <v>84</v>
      </c>
      <c r="C53" s="3" t="s">
        <v>427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6225.361691883247</v>
      </c>
      <c r="J53" s="30">
        <f>I53/C5/12</f>
        <v>0.13353414182503745</v>
      </c>
      <c r="K53" s="42">
        <f>J53*C5*3</f>
        <v>1556.3404229708117</v>
      </c>
      <c r="L53" s="7">
        <f>J53*C5*6</f>
        <v>3112.6808459416234</v>
      </c>
      <c r="M53" s="1">
        <f>J53*C5*9</f>
        <v>4669.021268912435</v>
      </c>
      <c r="N53" s="1">
        <f>J53*C5*12</f>
        <v>6225.361691883247</v>
      </c>
    </row>
    <row r="54" spans="2:14" ht="63.75">
      <c r="B54" s="1" t="s">
        <v>86</v>
      </c>
      <c r="C54" s="3" t="s">
        <v>87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12235.00977130258</v>
      </c>
      <c r="J54" s="30">
        <f>I54/C5/12</f>
        <v>0.2624412220356624</v>
      </c>
      <c r="K54" s="42">
        <f>J54*C5*3</f>
        <v>3058.752442825645</v>
      </c>
      <c r="L54" s="7">
        <f>J54*C5*6</f>
        <v>6117.50488565129</v>
      </c>
      <c r="M54" s="1">
        <f>J54*C5*9</f>
        <v>9176.257328476935</v>
      </c>
      <c r="N54" s="1">
        <f>J54*C5*12</f>
        <v>12235.00977130258</v>
      </c>
    </row>
    <row r="55" spans="2:14" ht="38.2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38.2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63.7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4" t="s">
        <v>160</v>
      </c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36770.25601945201</v>
      </c>
      <c r="J59" s="31">
        <f t="shared" si="3"/>
        <v>0.7887227803400259</v>
      </c>
      <c r="K59" s="43">
        <f t="shared" si="3"/>
        <v>9192.564004863003</v>
      </c>
      <c r="L59" s="6">
        <f t="shared" si="3"/>
        <v>18385.128009726006</v>
      </c>
      <c r="M59" s="2">
        <f t="shared" si="3"/>
        <v>27577.692014589007</v>
      </c>
      <c r="N59" s="2">
        <f t="shared" si="3"/>
        <v>36770.25601945201</v>
      </c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25.5">
      <c r="B61" s="1" t="s">
        <v>96</v>
      </c>
      <c r="C61" s="3" t="s">
        <v>97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83198.88428286383</v>
      </c>
      <c r="J61" s="30">
        <f>I61/C5/12</f>
        <v>1.7846178524852816</v>
      </c>
      <c r="K61" s="42">
        <f>J61*C5*3</f>
        <v>20799.721070715957</v>
      </c>
      <c r="L61" s="7">
        <f>J61*C5*6</f>
        <v>41599.442141431915</v>
      </c>
      <c r="M61" s="1">
        <f>J61*C5*9</f>
        <v>62399.163212147876</v>
      </c>
      <c r="N61" s="1">
        <f>J61*C5*12</f>
        <v>83198.88428286383</v>
      </c>
    </row>
    <row r="62" spans="2:14" ht="12.75">
      <c r="B62" s="1" t="s">
        <v>98</v>
      </c>
      <c r="C62" s="3" t="s">
        <v>99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28287.622148865554</v>
      </c>
      <c r="J62" s="30">
        <f>I62/C5/12</f>
        <v>0.606770101863268</v>
      </c>
      <c r="K62" s="42">
        <f>J62*C5*3</f>
        <v>7071.905537216388</v>
      </c>
      <c r="L62" s="7">
        <f>J62*C5*6</f>
        <v>14143.811074432777</v>
      </c>
      <c r="M62" s="1">
        <f>J62*C5*9</f>
        <v>21215.716611649164</v>
      </c>
      <c r="N62" s="1">
        <f>J62*C5*12</f>
        <v>28287.622148865554</v>
      </c>
    </row>
    <row r="63" spans="2:14" ht="25.5">
      <c r="B63" s="1" t="s">
        <v>100</v>
      </c>
      <c r="C63" s="3" t="s">
        <v>455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19736.670129358536</v>
      </c>
      <c r="J63" s="30">
        <f>I63/C5/12</f>
        <v>0.4233519976267382</v>
      </c>
      <c r="K63" s="42">
        <f>J63*C5*3</f>
        <v>4934.167532339634</v>
      </c>
      <c r="L63" s="7">
        <f>J63*C5*6</f>
        <v>9868.335064679268</v>
      </c>
      <c r="M63" s="1">
        <f>J63*C5*9</f>
        <v>14802.502597018902</v>
      </c>
      <c r="N63" s="1">
        <f>J63*C5*12</f>
        <v>19736.670129358536</v>
      </c>
    </row>
    <row r="64" spans="2:14" ht="25.5">
      <c r="B64" s="1" t="s">
        <v>102</v>
      </c>
      <c r="C64" s="3" t="s">
        <v>158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76.5">
      <c r="B65" s="1" t="s">
        <v>104</v>
      </c>
      <c r="C65" s="4" t="s">
        <v>421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63.75">
      <c r="B66" s="1" t="s">
        <v>105</v>
      </c>
      <c r="C66" s="3" t="s">
        <v>106</v>
      </c>
      <c r="D66" s="3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>
        <f>G66/5*C12</f>
        <v>13085.22</v>
      </c>
      <c r="J66" s="30">
        <f>I66/C5/12</f>
        <v>0.28067824967824967</v>
      </c>
      <c r="K66" s="42">
        <f>J66*C5*3</f>
        <v>3271.305</v>
      </c>
      <c r="L66" s="7">
        <f>J66*C5*6</f>
        <v>6542.61</v>
      </c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144308.39656108792</v>
      </c>
      <c r="J67" s="31">
        <f t="shared" si="4"/>
        <v>3.0954182016535374</v>
      </c>
      <c r="K67" s="43">
        <f t="shared" si="4"/>
        <v>36077.09914027198</v>
      </c>
      <c r="L67" s="6">
        <f t="shared" si="4"/>
        <v>72154.19828054396</v>
      </c>
      <c r="M67" s="2">
        <f t="shared" si="4"/>
        <v>98417.38242081593</v>
      </c>
      <c r="N67" s="2">
        <f t="shared" si="4"/>
        <v>131223.17656108792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63.75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7623.385449980415</v>
      </c>
      <c r="J69" s="30">
        <f>I69/C5/12</f>
        <v>0.1635217814238613</v>
      </c>
      <c r="K69" s="42">
        <f>J69*C5*3</f>
        <v>1905.8463624951034</v>
      </c>
      <c r="L69" s="7">
        <f>J69*C5*6</f>
        <v>3811.692724990207</v>
      </c>
      <c r="M69" s="1">
        <f>J69*C5*9</f>
        <v>5717.53908748531</v>
      </c>
      <c r="N69" s="1">
        <f>J69*C5*12</f>
        <v>7623.385449980414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2591.953331312475</v>
      </c>
      <c r="J70" s="30">
        <f>I70/C5/12</f>
        <v>0.05559745455410714</v>
      </c>
      <c r="K70" s="42">
        <f>J70*C5*3</f>
        <v>647.9883328281187</v>
      </c>
      <c r="L70" s="7">
        <f>J70*C5*6</f>
        <v>1295.9766656562374</v>
      </c>
      <c r="M70" s="1">
        <f>J70*C5*9</f>
        <v>1943.964998484356</v>
      </c>
      <c r="N70" s="1">
        <f>J70*C5*12</f>
        <v>2591.953331312475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2192.9568008124415</v>
      </c>
      <c r="J71" s="30">
        <f>I71/C5/12</f>
        <v>0.04703897041639729</v>
      </c>
      <c r="K71" s="42">
        <f>J71*C5*3</f>
        <v>548.2392002031104</v>
      </c>
      <c r="L71" s="7">
        <f>J71*C5*6</f>
        <v>1096.4784004062208</v>
      </c>
      <c r="M71" s="1">
        <f>J71*C5*9</f>
        <v>1644.7176006093312</v>
      </c>
      <c r="N71" s="1">
        <f>J71*C5*12</f>
        <v>2192.9568008124415</v>
      </c>
    </row>
    <row r="72" spans="2:14" ht="25.5">
      <c r="B72" s="1"/>
      <c r="C72" s="3"/>
      <c r="D72" s="3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13519.801068453111</v>
      </c>
      <c r="J72" s="30">
        <f>I72/C5/12</f>
        <v>0.29000002291834215</v>
      </c>
      <c r="K72" s="42">
        <f>J72*C5*3</f>
        <v>3379.9502671132777</v>
      </c>
      <c r="L72" s="7">
        <f>J72*C5*6</f>
        <v>6759.9005342265555</v>
      </c>
      <c r="M72" s="1">
        <f>J72*C5*9</f>
        <v>10139.850801339833</v>
      </c>
      <c r="N72" s="1">
        <f>J72*C5*12</f>
        <v>13519.801068453111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25928.09665055844</v>
      </c>
      <c r="J74" s="31">
        <f t="shared" si="5"/>
        <v>0.5561582293127079</v>
      </c>
      <c r="K74" s="43">
        <f t="shared" si="5"/>
        <v>6482.02416263961</v>
      </c>
      <c r="L74" s="6">
        <f t="shared" si="5"/>
        <v>12964.04832527922</v>
      </c>
      <c r="M74" s="2">
        <f t="shared" si="5"/>
        <v>19446.07248791883</v>
      </c>
      <c r="N74" s="2">
        <f t="shared" si="5"/>
        <v>25928.09665055844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472516.60274152976</v>
      </c>
      <c r="J80" s="31">
        <f>J33+J42+J43+J50+J59+J67+J74</f>
        <v>10.135491264297077</v>
      </c>
      <c r="K80" s="43">
        <f>J80*C5*3</f>
        <v>118129.15068538242</v>
      </c>
      <c r="L80" s="6">
        <f>L33+L42+L43+L50+L59+L67+L74</f>
        <v>236258.30137076488</v>
      </c>
      <c r="M80" s="2">
        <f>M33+M42+M43+M50+M59+M67+M74</f>
        <v>344573.5370561473</v>
      </c>
      <c r="N80" s="2">
        <f>N33+N42+N43+N50+N59+N67+N74</f>
        <v>459431.3827415298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49465.8921358336</v>
      </c>
      <c r="J81" s="30">
        <f>I81/C5/12</f>
        <v>1.0610444473580782</v>
      </c>
      <c r="K81" s="42">
        <f>J81*C5*3</f>
        <v>12366.473033958402</v>
      </c>
      <c r="L81" s="7">
        <f>J81*C5*6</f>
        <v>24732.946067916804</v>
      </c>
      <c r="M81" s="1">
        <f>J81*C5*9</f>
        <v>37099.41910187521</v>
      </c>
      <c r="N81" s="1">
        <f>J81*C5*12</f>
        <v>49465.89213583361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132432.69454379624</v>
      </c>
      <c r="J82" s="30">
        <f>I82/C5/12</f>
        <v>2.840684138648568</v>
      </c>
      <c r="K82" s="42">
        <f>J82*C5*3</f>
        <v>33108.17363594906</v>
      </c>
      <c r="L82" s="7">
        <f>J82*C5*6</f>
        <v>66216.34727189812</v>
      </c>
      <c r="M82" s="1">
        <f>J82*C5*9</f>
        <v>99324.5209078472</v>
      </c>
      <c r="N82" s="1">
        <f>J82*C5*12</f>
        <v>132432.69454379624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654415.1894211597</v>
      </c>
      <c r="J83" s="31">
        <f>J80+J81+J82</f>
        <v>14.037219850303723</v>
      </c>
      <c r="K83" s="43">
        <f>J83*C5*3</f>
        <v>163603.7973552899</v>
      </c>
      <c r="L83" s="6">
        <f>SUM(L80:L82)</f>
        <v>327207.59471057984</v>
      </c>
      <c r="M83" s="2">
        <f>SUM(M80:M82)</f>
        <v>480997.4770658697</v>
      </c>
      <c r="N83" s="2">
        <f>SUM(N80:N82)</f>
        <v>641329.9694211597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32720.758854841024</v>
      </c>
      <c r="J84" s="30"/>
      <c r="K84" s="42"/>
      <c r="L84" s="7"/>
      <c r="M84" s="1"/>
      <c r="N84" s="1"/>
    </row>
    <row r="85" spans="2:14" ht="25.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687135.9482760007</v>
      </c>
      <c r="J85" s="31">
        <f>J83+J84</f>
        <v>14.037219850303723</v>
      </c>
      <c r="K85" s="43">
        <f>J85*C5*3</f>
        <v>163603.7973552899</v>
      </c>
      <c r="L85" s="6">
        <f>L83+L84</f>
        <v>327207.59471057984</v>
      </c>
      <c r="M85" s="2">
        <f>M83+M84</f>
        <v>480997.4770658697</v>
      </c>
      <c r="N85" s="2">
        <f>N83+N84</f>
        <v>641329.9694211597</v>
      </c>
    </row>
    <row r="86" spans="2:14" ht="12.7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14.07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K15:K18"/>
    <mergeCell ref="L15:L18"/>
    <mergeCell ref="B14:B18"/>
    <mergeCell ref="C14:C18"/>
    <mergeCell ref="D14:D18"/>
    <mergeCell ref="E14:E18"/>
    <mergeCell ref="M15:M18"/>
    <mergeCell ref="N15:N18"/>
    <mergeCell ref="F14:F18"/>
    <mergeCell ref="G14:H14"/>
    <mergeCell ref="I14:J14"/>
    <mergeCell ref="K14:N14"/>
    <mergeCell ref="G15:G18"/>
    <mergeCell ref="H15:H18"/>
    <mergeCell ref="I15:I18"/>
    <mergeCell ref="J15:J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4:K101"/>
  <sheetViews>
    <sheetView workbookViewId="0" topLeftCell="A4">
      <pane xSplit="1" ySplit="15" topLeftCell="B30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O63" sqref="O63"/>
    </sheetView>
  </sheetViews>
  <sheetFormatPr defaultColWidth="9.140625" defaultRowHeight="12.75"/>
  <cols>
    <col min="3" max="3" width="31.140625" style="0" customWidth="1"/>
    <col min="4" max="4" width="18.00390625" style="0" customWidth="1"/>
    <col min="5" max="5" width="12.28125" style="0" customWidth="1"/>
    <col min="6" max="6" width="11.28125" style="0" customWidth="1"/>
    <col min="9" max="9" width="11.7109375" style="0" customWidth="1"/>
  </cols>
  <sheetData>
    <row r="4" spans="2:3" ht="12.75">
      <c r="B4" s="5" t="s">
        <v>487</v>
      </c>
      <c r="C4" s="5" t="s">
        <v>379</v>
      </c>
    </row>
    <row r="5" spans="2:3" ht="12.75">
      <c r="B5" t="s">
        <v>488</v>
      </c>
      <c r="C5">
        <v>2758.1</v>
      </c>
    </row>
    <row r="6" spans="2:3" ht="12.75">
      <c r="B6" t="s">
        <v>489</v>
      </c>
      <c r="C6">
        <v>1543</v>
      </c>
    </row>
    <row r="7" spans="2:3" ht="12.75">
      <c r="B7" t="s">
        <v>490</v>
      </c>
      <c r="C7">
        <v>346</v>
      </c>
    </row>
    <row r="8" spans="2:3" ht="12.75">
      <c r="B8" t="s">
        <v>491</v>
      </c>
      <c r="C8">
        <v>264.7</v>
      </c>
    </row>
    <row r="9" spans="2:3" ht="12.75">
      <c r="B9" t="s">
        <v>492</v>
      </c>
      <c r="C9">
        <v>3</v>
      </c>
    </row>
    <row r="10" spans="2:3" ht="12.75">
      <c r="B10" t="s">
        <v>493</v>
      </c>
      <c r="C10">
        <v>50</v>
      </c>
    </row>
    <row r="11" spans="2:3" ht="12.75">
      <c r="B11" t="s">
        <v>494</v>
      </c>
      <c r="C11">
        <v>5</v>
      </c>
    </row>
    <row r="12" spans="2:3" ht="12.75">
      <c r="B12" t="s">
        <v>547</v>
      </c>
      <c r="C12">
        <v>1</v>
      </c>
    </row>
    <row r="14" spans="2:11" ht="12.75" customHeight="1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5" t="s">
        <v>378</v>
      </c>
    </row>
    <row r="15" spans="2:11" ht="12.75" customHeight="1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59"/>
    </row>
    <row r="16" spans="2:11" ht="12.75">
      <c r="B16" s="74"/>
      <c r="C16" s="74"/>
      <c r="D16" s="74"/>
      <c r="E16" s="74"/>
      <c r="F16" s="74"/>
      <c r="G16" s="74"/>
      <c r="H16" s="74"/>
      <c r="I16" s="74"/>
      <c r="J16" s="74"/>
      <c r="K16" s="59"/>
    </row>
    <row r="17" spans="2:11" ht="12.75">
      <c r="B17" s="74"/>
      <c r="C17" s="74"/>
      <c r="D17" s="74"/>
      <c r="E17" s="74"/>
      <c r="F17" s="74"/>
      <c r="G17" s="74"/>
      <c r="H17" s="74"/>
      <c r="I17" s="74"/>
      <c r="J17" s="74"/>
      <c r="K17" s="59"/>
    </row>
    <row r="18" spans="2:11" ht="12.75">
      <c r="B18" s="74"/>
      <c r="C18" s="74"/>
      <c r="D18" s="74"/>
      <c r="E18" s="74"/>
      <c r="F18" s="74"/>
      <c r="G18" s="74"/>
      <c r="H18" s="74"/>
      <c r="I18" s="74"/>
      <c r="J18" s="74"/>
      <c r="K18" s="60"/>
    </row>
    <row r="19" spans="2:11" ht="12.7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2.7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2.7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</row>
    <row r="23" spans="2:11" ht="12.75">
      <c r="B23" s="1"/>
      <c r="C23" s="3"/>
      <c r="D23" s="1"/>
      <c r="E23" s="1"/>
      <c r="F23" s="1"/>
      <c r="G23" s="1"/>
      <c r="H23" s="1"/>
      <c r="I23" s="1"/>
      <c r="J23" s="1"/>
      <c r="K23" s="1"/>
    </row>
    <row r="24" spans="2:11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</row>
    <row r="25" spans="2:11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</row>
    <row r="26" spans="2:11" ht="38.2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</row>
    <row r="27" spans="2:11" ht="38.2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25601.784391796253</v>
      </c>
      <c r="J27" s="30">
        <f>I27/C5/12</f>
        <v>0.7735332412347948</v>
      </c>
      <c r="K27" s="1">
        <f>J27*C5*1</f>
        <v>2133.4820326496874</v>
      </c>
    </row>
    <row r="28" spans="2:11" ht="38.2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8704.606007567276</v>
      </c>
      <c r="J28" s="30">
        <f>I28/C5/12</f>
        <v>0.2630012813037742</v>
      </c>
      <c r="K28" s="1">
        <f>J28*C5*1</f>
        <v>725.3838339639397</v>
      </c>
    </row>
    <row r="29" spans="2:11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1740.1067550440805</v>
      </c>
      <c r="J29" s="30">
        <f>I29/C5/12</f>
        <v>0.05257564854561959</v>
      </c>
      <c r="K29" s="1">
        <f>J29*C5*1</f>
        <v>145.00889625367338</v>
      </c>
    </row>
    <row r="30" spans="2:11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</row>
    <row r="31" spans="2:11" ht="25.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</row>
    <row r="32" spans="2:11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>SUM(I27:I32)</f>
        <v>36046.49715440761</v>
      </c>
      <c r="J33" s="31">
        <f>SUM(J27:J32)</f>
        <v>1.0891101710841886</v>
      </c>
      <c r="K33" s="2">
        <f>SUM(K27:K32)</f>
        <v>3003.8747628673004</v>
      </c>
    </row>
    <row r="34" spans="2:11" ht="51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</row>
    <row r="35" spans="2:11" ht="25.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13852.616053087544</v>
      </c>
      <c r="J35" s="30">
        <f>I35/C5/12</f>
        <v>0.4185434433452843</v>
      </c>
      <c r="K35" s="1">
        <f>J35*C5*1</f>
        <v>1154.3846710906287</v>
      </c>
    </row>
    <row r="36" spans="2:11" ht="25.5">
      <c r="B36" s="1" t="s">
        <v>63</v>
      </c>
      <c r="C36" s="3" t="s">
        <v>311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4709.889988287261</v>
      </c>
      <c r="J36" s="30">
        <f>I36/C5/12</f>
        <v>0.1423047867580116</v>
      </c>
      <c r="K36" s="1">
        <f>J36*C5*1</f>
        <v>392.49083235727176</v>
      </c>
    </row>
    <row r="37" spans="2:11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1962.828340746298</v>
      </c>
      <c r="J37" s="30">
        <f>I37/C5/12</f>
        <v>0.0593049666058246</v>
      </c>
      <c r="K37" s="1">
        <f>J37*C5*1</f>
        <v>163.5690283955248</v>
      </c>
    </row>
    <row r="38" spans="2:11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937.7659838063084</v>
      </c>
      <c r="J38" s="30">
        <f>I38/C5/12</f>
        <v>0.028333695412491342</v>
      </c>
      <c r="K38" s="1">
        <f>J38*C5*1</f>
        <v>78.14716531719237</v>
      </c>
    </row>
    <row r="39" spans="2:11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1"/>
    </row>
    <row r="40" spans="2:11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1"/>
    </row>
    <row r="41" spans="2:11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593.9368802568525</v>
      </c>
      <c r="J41" s="30">
        <f>I41/C5/12</f>
        <v>0.017945230420000863</v>
      </c>
      <c r="K41" s="1">
        <f>J41*C5*1</f>
        <v>49.49474002140438</v>
      </c>
    </row>
    <row r="42" spans="2:11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>SUM(I35:I41)</f>
        <v>22057.037246184267</v>
      </c>
      <c r="J42" s="31">
        <f>SUM(J35:J41)</f>
        <v>0.6664321225416127</v>
      </c>
      <c r="K42" s="2">
        <f>SUM(K35:K41)</f>
        <v>1838.0864371820219</v>
      </c>
    </row>
    <row r="43" spans="2:11" ht="25.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98960.62697374953</v>
      </c>
      <c r="J43" s="31">
        <f>I43/C5/12</f>
        <v>2.9899999689928314</v>
      </c>
      <c r="K43" s="2">
        <f>J43*C5*1</f>
        <v>8246.718914479128</v>
      </c>
    </row>
    <row r="44" spans="2:11" ht="38.2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</row>
    <row r="45" spans="2:11" ht="63.75">
      <c r="B45" s="1" t="s">
        <v>76</v>
      </c>
      <c r="C45" s="3" t="s">
        <v>77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10868.826272731372</v>
      </c>
      <c r="J45" s="30">
        <f>I45/C5/12</f>
        <v>0.3283911108109258</v>
      </c>
      <c r="K45" s="1">
        <f>J45*C5*1</f>
        <v>905.7355227276145</v>
      </c>
    </row>
    <row r="46" spans="2:11" ht="76.5">
      <c r="B46" s="1" t="s">
        <v>78</v>
      </c>
      <c r="C46" s="3" t="s">
        <v>346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3695.3940724673935</v>
      </c>
      <c r="J46" s="30">
        <f>I46/C5/12</f>
        <v>0.11165277039953209</v>
      </c>
      <c r="K46" s="1">
        <f>J46*C5*1</f>
        <v>307.94950603894944</v>
      </c>
    </row>
    <row r="47" spans="2:11" ht="102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2171.5181006707053</v>
      </c>
      <c r="J47" s="30">
        <f>I47/C5/12</f>
        <v>0.06561032657356831</v>
      </c>
      <c r="K47" s="1">
        <f>J47*C5*1</f>
        <v>180.95984172255876</v>
      </c>
    </row>
    <row r="48" spans="2:11" ht="12.75">
      <c r="B48" s="1"/>
      <c r="C48" s="3"/>
      <c r="D48" s="1"/>
      <c r="E48" s="1"/>
      <c r="F48" s="1"/>
      <c r="G48" s="1"/>
      <c r="H48" s="1"/>
      <c r="I48" s="1"/>
      <c r="J48" s="1"/>
      <c r="K48" s="1"/>
    </row>
    <row r="49" spans="2:11" ht="12.75">
      <c r="B49" s="1"/>
      <c r="C49" s="3"/>
      <c r="D49" s="1" t="s">
        <v>71</v>
      </c>
      <c r="E49" s="1"/>
      <c r="F49" s="1"/>
      <c r="G49" s="1"/>
      <c r="H49" s="1"/>
      <c r="I49" s="1"/>
      <c r="J49" s="1"/>
      <c r="K49" s="1"/>
    </row>
    <row r="50" spans="2:11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>SUM(I45:I49)</f>
        <v>16735.738445869472</v>
      </c>
      <c r="J50" s="31">
        <f>SUM(J45:J49)</f>
        <v>0.5056542077840263</v>
      </c>
      <c r="K50" s="2">
        <f>SUM(K45:K49)</f>
        <v>1394.6448704891227</v>
      </c>
    </row>
    <row r="51" spans="2:11" ht="51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</row>
    <row r="52" spans="2:11" ht="38.2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12998.839792699551</v>
      </c>
      <c r="J52" s="30">
        <f>I52/C5/12</f>
        <v>0.3927474164793261</v>
      </c>
      <c r="K52" s="1">
        <f>J52*C5*1</f>
        <v>1083.2366493916293</v>
      </c>
    </row>
    <row r="53" spans="2:11" ht="25.5">
      <c r="B53" s="1" t="s">
        <v>84</v>
      </c>
      <c r="C53" s="3" t="s">
        <v>427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4419.60619881163</v>
      </c>
      <c r="J53" s="30">
        <f>I53/C5/12</f>
        <v>0.13353414182503745</v>
      </c>
      <c r="K53" s="1">
        <f>J53*C5*1</f>
        <v>368.3005165676358</v>
      </c>
    </row>
    <row r="54" spans="2:11" ht="63.75">
      <c r="B54" s="1" t="s">
        <v>86</v>
      </c>
      <c r="C54" s="3" t="s">
        <v>87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8686.069613958725</v>
      </c>
      <c r="J54" s="30">
        <f>I54/C5/12</f>
        <v>0.2624412220356624</v>
      </c>
      <c r="K54" s="1">
        <f>J54*C5*1</f>
        <v>723.8391344965604</v>
      </c>
    </row>
    <row r="55" spans="2:11" ht="38.2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1"/>
    </row>
    <row r="56" spans="2:11" ht="51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1"/>
    </row>
    <row r="57" spans="2:11" ht="76.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1"/>
    </row>
    <row r="58" spans="2:11" ht="25.5">
      <c r="B58" s="1" t="s">
        <v>93</v>
      </c>
      <c r="C58" s="3" t="s">
        <v>94</v>
      </c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>SUM(I52:I58)</f>
        <v>26104.515605469904</v>
      </c>
      <c r="J59" s="31">
        <f>SUM(J52:J58)</f>
        <v>0.7887227803400259</v>
      </c>
      <c r="K59" s="2">
        <f>SUM(K52:K58)</f>
        <v>2175.3763004558255</v>
      </c>
    </row>
    <row r="60" spans="2:11" ht="51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</row>
    <row r="61" spans="2:11" ht="25.5">
      <c r="B61" s="1" t="s">
        <v>96</v>
      </c>
      <c r="C61" s="3" t="s">
        <v>345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59065.85398727586</v>
      </c>
      <c r="J61" s="30">
        <f>I61/C5/12</f>
        <v>1.7846178524852816</v>
      </c>
      <c r="K61" s="1">
        <f>J61*C5*1</f>
        <v>4922.154498939655</v>
      </c>
    </row>
    <row r="62" spans="2:11" ht="12.75">
      <c r="B62" s="1" t="s">
        <v>98</v>
      </c>
      <c r="C62" s="3" t="s">
        <v>99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20082.391415388953</v>
      </c>
      <c r="J62" s="30">
        <f>I62/C5/12</f>
        <v>0.606770101863268</v>
      </c>
      <c r="K62" s="1">
        <f>J62*C5*1</f>
        <v>1673.5326179490794</v>
      </c>
    </row>
    <row r="63" spans="2:11" ht="25.5">
      <c r="B63" s="1" t="s">
        <v>100</v>
      </c>
      <c r="C63" s="3" t="s">
        <v>469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14011.765735851679</v>
      </c>
      <c r="J63" s="30">
        <f>I63/C5/12</f>
        <v>0.4233519976267382</v>
      </c>
      <c r="K63" s="1">
        <f>J63*C5*1</f>
        <v>1167.6471446543067</v>
      </c>
    </row>
    <row r="64" spans="2:11" ht="25.5">
      <c r="B64" s="1" t="s">
        <v>102</v>
      </c>
      <c r="C64" s="3" t="s">
        <v>158</v>
      </c>
      <c r="D64" s="1"/>
      <c r="E64" s="1"/>
      <c r="F64" s="1"/>
      <c r="G64" s="1"/>
      <c r="H64" s="1"/>
      <c r="I64" s="1"/>
      <c r="J64" s="30"/>
      <c r="K64" s="1"/>
    </row>
    <row r="65" spans="2:11" ht="51">
      <c r="B65" s="1" t="s">
        <v>104</v>
      </c>
      <c r="C65" s="4" t="s">
        <v>347</v>
      </c>
      <c r="D65" s="1" t="s">
        <v>71</v>
      </c>
      <c r="E65" s="1"/>
      <c r="F65" s="1"/>
      <c r="G65" s="1"/>
      <c r="H65" s="1"/>
      <c r="I65" s="1"/>
      <c r="J65" s="30"/>
      <c r="K65" s="1"/>
    </row>
    <row r="66" spans="2:11" ht="63.75">
      <c r="B66" s="1" t="s">
        <v>105</v>
      </c>
      <c r="C66" s="3" t="s">
        <v>106</v>
      </c>
      <c r="D66" s="3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>
        <f>G66/5*C12</f>
        <v>6542.61</v>
      </c>
      <c r="J66" s="30">
        <f>I66/C5/12</f>
        <v>0.19767865559624379</v>
      </c>
      <c r="K66" s="1">
        <f>J66*C5*1</f>
        <v>545.2175</v>
      </c>
    </row>
    <row r="67" spans="2:11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>SUM(I61:I66)</f>
        <v>99702.6211385165</v>
      </c>
      <c r="J67" s="31">
        <f>SUM(J61:J66)</f>
        <v>3.0124186075715316</v>
      </c>
      <c r="K67" s="2">
        <f>SUM(K61:K66)</f>
        <v>8308.551761543042</v>
      </c>
    </row>
    <row r="68" spans="2:11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</row>
    <row r="69" spans="2:11" ht="76.5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5412.113104141822</v>
      </c>
      <c r="J69" s="30">
        <f>I69/C5/12</f>
        <v>0.16352178142386128</v>
      </c>
      <c r="K69" s="1">
        <f>J69*C5*1</f>
        <v>451.0094253451518</v>
      </c>
    </row>
    <row r="70" spans="2:11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1840.1200728681947</v>
      </c>
      <c r="J70" s="30">
        <f>I70/C5/12</f>
        <v>0.05559745455410714</v>
      </c>
      <c r="K70" s="1">
        <f>J70*C5*1</f>
        <v>153.34333940568288</v>
      </c>
    </row>
    <row r="71" spans="2:11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1556.8582116655843</v>
      </c>
      <c r="J71" s="30">
        <f>I71/C5/12</f>
        <v>0.04703897041639729</v>
      </c>
      <c r="K71" s="1">
        <f>J71*C5*1</f>
        <v>129.73818430546535</v>
      </c>
    </row>
    <row r="72" spans="2:11" ht="25.5">
      <c r="B72" s="1"/>
      <c r="C72" s="3"/>
      <c r="D72" s="3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9598.188758532953</v>
      </c>
      <c r="J72" s="30">
        <f>I72/C5/12</f>
        <v>0.29000002291834215</v>
      </c>
      <c r="K72" s="1">
        <f>J72*C5*1</f>
        <v>799.8490632110794</v>
      </c>
    </row>
    <row r="73" spans="2:11" ht="12.75">
      <c r="B73" s="1"/>
      <c r="C73" s="3"/>
      <c r="D73" s="1"/>
      <c r="E73" s="1"/>
      <c r="F73" s="1"/>
      <c r="G73" s="1"/>
      <c r="H73" s="1"/>
      <c r="I73" s="1"/>
      <c r="J73" s="30"/>
      <c r="K73" s="1"/>
    </row>
    <row r="74" spans="2:11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>SUM(I69:I73)</f>
        <v>18407.280147208556</v>
      </c>
      <c r="J74" s="31">
        <f>SUM(J69:J73)</f>
        <v>0.5561582293127079</v>
      </c>
      <c r="K74" s="2">
        <f>SUM(K69:K73)</f>
        <v>1533.9400122673794</v>
      </c>
    </row>
    <row r="75" spans="2:11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</row>
    <row r="76" spans="2:11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</row>
    <row r="77" spans="2:11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</row>
    <row r="78" spans="2:11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3"/>
      <c r="D79" s="1"/>
      <c r="E79" s="1"/>
      <c r="F79" s="1"/>
      <c r="G79" s="1"/>
      <c r="H79" s="1"/>
      <c r="I79" s="1"/>
      <c r="J79" s="1"/>
      <c r="K79" s="1"/>
    </row>
    <row r="80" spans="2:11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318014.3167114058</v>
      </c>
      <c r="J80" s="31">
        <f>J33+J42+J43+J50+J59+J67+J74</f>
        <v>9.608496087626923</v>
      </c>
      <c r="K80" s="2">
        <f>K33+K42+K43+K50+K59+K67+K74</f>
        <v>26501.19305928382</v>
      </c>
    </row>
    <row r="81" spans="2:11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33291.659587889924</v>
      </c>
      <c r="J81" s="30">
        <f>I81/C5/12</f>
        <v>1.0058754090342967</v>
      </c>
      <c r="K81" s="1">
        <f>J81*C5*1</f>
        <v>2774.3049656574935</v>
      </c>
    </row>
    <row r="82" spans="2:11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89130.18637068542</v>
      </c>
      <c r="J82" s="30">
        <f>I82/C5/12</f>
        <v>2.69298268042872</v>
      </c>
      <c r="K82" s="1">
        <f>J82*C5*1</f>
        <v>7427.515530890452</v>
      </c>
    </row>
    <row r="83" spans="2:11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440436.16266998113</v>
      </c>
      <c r="J83" s="31">
        <f>J80+J81+J82</f>
        <v>13.307354177089941</v>
      </c>
      <c r="K83" s="2">
        <f>SUM(K80:K82)</f>
        <v>36703.01355583177</v>
      </c>
    </row>
    <row r="84" spans="2:11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22021.80771877116</v>
      </c>
      <c r="J84" s="30"/>
      <c r="K84" s="1"/>
    </row>
    <row r="85" spans="2:11" ht="25.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462457.9703887523</v>
      </c>
      <c r="J85" s="31">
        <f>J83+J84</f>
        <v>13.307354177089941</v>
      </c>
      <c r="K85" s="2">
        <f>K83+K84</f>
        <v>36703.01355583177</v>
      </c>
    </row>
    <row r="86" spans="2:11" ht="12.75">
      <c r="B86" s="1"/>
      <c r="C86" s="3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12.56</v>
      </c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</row>
    <row r="100" spans="2:11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</sheetData>
  <mergeCells count="12">
    <mergeCell ref="K14:K18"/>
    <mergeCell ref="F14:F18"/>
    <mergeCell ref="G14:H14"/>
    <mergeCell ref="I14:J14"/>
    <mergeCell ref="G15:G18"/>
    <mergeCell ref="H15:H18"/>
    <mergeCell ref="I15:I18"/>
    <mergeCell ref="J15:J18"/>
    <mergeCell ref="B14:B18"/>
    <mergeCell ref="C14:C18"/>
    <mergeCell ref="D14:D18"/>
    <mergeCell ref="E14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6" sqref="J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2">
      <pane xSplit="1" ySplit="17" topLeftCell="B61" activePane="bottomRight" state="frozen"/>
      <selection pane="topLeft" activeCell="A2" sqref="A2"/>
      <selection pane="topRight" activeCell="B2" sqref="B2"/>
      <selection pane="bottomLeft" activeCell="A19" sqref="A19"/>
      <selection pane="bottomRight" activeCell="C65" sqref="C65"/>
    </sheetView>
  </sheetViews>
  <sheetFormatPr defaultColWidth="9.140625" defaultRowHeight="12.75"/>
  <cols>
    <col min="3" max="3" width="34.421875" style="0" customWidth="1"/>
    <col min="4" max="4" width="16.140625" style="0" customWidth="1"/>
    <col min="5" max="5" width="13.7109375" style="0" hidden="1" customWidth="1"/>
    <col min="6" max="8" width="0" style="0" hidden="1" customWidth="1"/>
    <col min="9" max="9" width="12.00390625" style="0" hidden="1" customWidth="1"/>
    <col min="10" max="10" width="10.28125" style="0" customWidth="1"/>
    <col min="11" max="11" width="13.00390625" style="0" hidden="1" customWidth="1"/>
    <col min="12" max="12" width="12.140625" style="0" hidden="1" customWidth="1"/>
    <col min="13" max="13" width="10.7109375" style="0" customWidth="1"/>
  </cols>
  <sheetData>
    <row r="4" spans="2:3" ht="12.75">
      <c r="B4" s="5" t="s">
        <v>487</v>
      </c>
      <c r="C4" s="5" t="s">
        <v>142</v>
      </c>
    </row>
    <row r="5" spans="2:3" ht="12.75">
      <c r="B5" t="s">
        <v>488</v>
      </c>
      <c r="C5">
        <v>2202.8</v>
      </c>
    </row>
    <row r="6" spans="2:3" ht="12.75">
      <c r="B6" t="s">
        <v>489</v>
      </c>
      <c r="C6">
        <v>2956</v>
      </c>
    </row>
    <row r="7" spans="2:3" ht="12.75">
      <c r="B7" t="s">
        <v>490</v>
      </c>
      <c r="C7">
        <v>356</v>
      </c>
    </row>
    <row r="8" spans="2:3" ht="12.75">
      <c r="B8" t="s">
        <v>491</v>
      </c>
      <c r="C8">
        <v>269.2</v>
      </c>
    </row>
    <row r="9" spans="2:3" ht="12.75">
      <c r="B9" t="s">
        <v>492</v>
      </c>
      <c r="C9">
        <v>3</v>
      </c>
    </row>
    <row r="10" spans="2:3" ht="12.75">
      <c r="B10" t="s">
        <v>493</v>
      </c>
      <c r="C10">
        <v>60</v>
      </c>
    </row>
    <row r="11" spans="2:3" ht="12.75">
      <c r="B11" t="s">
        <v>494</v>
      </c>
      <c r="C11">
        <v>5</v>
      </c>
    </row>
    <row r="12" spans="2:3" ht="12.75">
      <c r="B12" t="s">
        <v>547</v>
      </c>
      <c r="C12">
        <v>1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26037.02439845694</v>
      </c>
      <c r="J27" s="30">
        <f>I27/C5/12</f>
        <v>0.9849972912678159</v>
      </c>
      <c r="K27" s="42">
        <f>J27*C5*3</f>
        <v>6509.256099614236</v>
      </c>
      <c r="L27" s="44">
        <f>J27*C5*6</f>
        <v>13018.512199228471</v>
      </c>
      <c r="M27" s="1">
        <f>J27*C5*9</f>
        <v>19527.768298842708</v>
      </c>
      <c r="N27" s="1">
        <f>J27*C5*12</f>
        <v>26037.024398456942</v>
      </c>
    </row>
    <row r="28" spans="2:14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8852.58759817571</v>
      </c>
      <c r="J28" s="30">
        <f>I28/C5/12</f>
        <v>0.3348990526517655</v>
      </c>
      <c r="K28" s="42">
        <f>J28*C5*3</f>
        <v>2213.1468995439272</v>
      </c>
      <c r="L28" s="44">
        <f>J28*C5*6</f>
        <v>4426.2937990878545</v>
      </c>
      <c r="M28" s="1">
        <f>J28*C5*9</f>
        <v>6639.440698631783</v>
      </c>
      <c r="N28" s="1">
        <f>J28*C5*12</f>
        <v>8852.587598175709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1769.6892272681016</v>
      </c>
      <c r="J29" s="30">
        <f>I29/C5/12</f>
        <v>0.06694847570017332</v>
      </c>
      <c r="K29" s="42">
        <f>J29*C5*3</f>
        <v>442.42230681702534</v>
      </c>
      <c r="L29" s="44">
        <f>J29*C5*6</f>
        <v>884.8446136340507</v>
      </c>
      <c r="M29" s="1">
        <f>J29*C5*9</f>
        <v>1327.266920451076</v>
      </c>
      <c r="N29" s="1">
        <f>J29*C5*12</f>
        <v>1769.6892272681014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44"/>
      <c r="M30" s="1"/>
      <c r="N30" s="1"/>
    </row>
    <row r="31" spans="2:14" ht="25.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44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44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36659.30122390075</v>
      </c>
      <c r="J33" s="31">
        <f t="shared" si="0"/>
        <v>1.3868448196197547</v>
      </c>
      <c r="K33" s="43">
        <f t="shared" si="0"/>
        <v>9164.825305975188</v>
      </c>
      <c r="L33" s="6">
        <f t="shared" si="0"/>
        <v>18329.650611950376</v>
      </c>
      <c r="M33" s="2">
        <f t="shared" si="0"/>
        <v>27494.475917925563</v>
      </c>
      <c r="N33" s="2">
        <f t="shared" si="0"/>
        <v>36659.30122390075</v>
      </c>
    </row>
    <row r="34" spans="2:14" ht="51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25.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24287.911258774984</v>
      </c>
      <c r="J35" s="30">
        <f>I35/C5/12</f>
        <v>0.9188272221254382</v>
      </c>
      <c r="K35" s="42">
        <f>J35*C5*3</f>
        <v>6071.977814693746</v>
      </c>
      <c r="L35" s="7">
        <f>J35*C5*6</f>
        <v>12143.955629387492</v>
      </c>
      <c r="M35" s="1">
        <f>J35*C5*9</f>
        <v>18215.933444081238</v>
      </c>
      <c r="N35" s="1">
        <f>J35*C5*12</f>
        <v>24287.911258774984</v>
      </c>
    </row>
    <row r="36" spans="2:14" ht="25.5">
      <c r="B36" s="1" t="s">
        <v>63</v>
      </c>
      <c r="C36" s="3" t="s">
        <v>311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8257.890757653471</v>
      </c>
      <c r="J36" s="30">
        <f>I36/C5/12</f>
        <v>0.312401290692659</v>
      </c>
      <c r="K36" s="42">
        <f>J36*C5*3</f>
        <v>2064.472689413368</v>
      </c>
      <c r="L36" s="7">
        <f>J36*C5*6</f>
        <v>4128.945378826736</v>
      </c>
      <c r="M36" s="1">
        <f>J36*C5*9</f>
        <v>6193.418068240103</v>
      </c>
      <c r="N36" s="1">
        <f>J36*C5*12</f>
        <v>8257.890757653471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3441.443866888162</v>
      </c>
      <c r="J37" s="30">
        <f>I37/C5/12</f>
        <v>0.13019202329187707</v>
      </c>
      <c r="K37" s="42">
        <f>J37*C5*3</f>
        <v>860.3609667220405</v>
      </c>
      <c r="L37" s="7">
        <f>J37*C5*6</f>
        <v>1720.721933444081</v>
      </c>
      <c r="M37" s="1">
        <f>J37*C5*9</f>
        <v>2581.0829001661214</v>
      </c>
      <c r="N37" s="1">
        <f>J37*C5*12</f>
        <v>3441.443866888162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1644.1931913004203</v>
      </c>
      <c r="J38" s="30">
        <f>I38/C5/12</f>
        <v>0.062200880368183685</v>
      </c>
      <c r="K38" s="42">
        <f>J38*C5*3</f>
        <v>411.0482978251051</v>
      </c>
      <c r="L38" s="7">
        <f>J38*C5*6</f>
        <v>822.0965956502102</v>
      </c>
      <c r="M38" s="1">
        <f>J38*C5*9</f>
        <v>1233.1448934753153</v>
      </c>
      <c r="N38" s="1">
        <f>J38*C5*12</f>
        <v>1644.1931913004205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474.35704283013484</v>
      </c>
      <c r="J41" s="30">
        <f>I41/C5/12</f>
        <v>0.017945230420000863</v>
      </c>
      <c r="K41" s="42">
        <f>J41*C5*3</f>
        <v>118.58926070753373</v>
      </c>
      <c r="L41" s="7">
        <f>J41*C5*6</f>
        <v>237.17852141506745</v>
      </c>
      <c r="M41" s="1">
        <f>J41*C5*9</f>
        <v>355.76778212260115</v>
      </c>
      <c r="N41" s="1">
        <f>J41*C5*12</f>
        <v>474.3570428301349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38105.79611744717</v>
      </c>
      <c r="J42" s="31">
        <f t="shared" si="1"/>
        <v>1.4415666468981587</v>
      </c>
      <c r="K42" s="43">
        <f t="shared" si="1"/>
        <v>9526.449029361793</v>
      </c>
      <c r="L42" s="6">
        <f t="shared" si="1"/>
        <v>19052.898058723586</v>
      </c>
      <c r="M42" s="2">
        <f t="shared" si="1"/>
        <v>28579.34708808538</v>
      </c>
      <c r="N42" s="2">
        <f t="shared" si="1"/>
        <v>38105.79611744717</v>
      </c>
    </row>
    <row r="43" spans="2:14" ht="12.7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79036.46318036891</v>
      </c>
      <c r="J43" s="31">
        <f>I43/C5/12</f>
        <v>2.9899999689928314</v>
      </c>
      <c r="K43" s="43">
        <f>J43*C5*3</f>
        <v>19759.115795092228</v>
      </c>
      <c r="L43" s="6">
        <f>J43*C5*6</f>
        <v>39518.231590184456</v>
      </c>
      <c r="M43" s="2">
        <f>J43*C5*9</f>
        <v>59277.347385276684</v>
      </c>
      <c r="N43" s="50">
        <f>J43*C5*12</f>
        <v>79036.46318036891</v>
      </c>
    </row>
    <row r="44" spans="2:14" ht="38.2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63.75">
      <c r="B45" s="1" t="s">
        <v>76</v>
      </c>
      <c r="C45" s="3" t="s">
        <v>77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8680.559266731689</v>
      </c>
      <c r="J45" s="30">
        <f>I45/C5/12</f>
        <v>0.3283911108109258</v>
      </c>
      <c r="K45" s="42">
        <f>J45*C5*3</f>
        <v>2170.139816682922</v>
      </c>
      <c r="L45" s="7">
        <f>J45*C5*6</f>
        <v>4340.279633365844</v>
      </c>
      <c r="M45" s="1">
        <f>J45*C5*9</f>
        <v>6510.4194500487665</v>
      </c>
      <c r="N45" s="1">
        <f>J45*C5*12</f>
        <v>8680.559266731689</v>
      </c>
    </row>
    <row r="46" spans="2:14" ht="76.5">
      <c r="B46" s="1" t="s">
        <v>78</v>
      </c>
      <c r="C46" s="3" t="s">
        <v>476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2951.384671633072</v>
      </c>
      <c r="J46" s="30">
        <f>I46/C5/12</f>
        <v>0.11165277039953209</v>
      </c>
      <c r="K46" s="42">
        <f>J46*C5*3</f>
        <v>737.8461679082678</v>
      </c>
      <c r="L46" s="7">
        <f>J46*C5*6</f>
        <v>1475.6923358165357</v>
      </c>
      <c r="M46" s="1">
        <f>J46*C5*9</f>
        <v>2213.5385037248034</v>
      </c>
      <c r="N46" s="1">
        <f>J46*C5*12</f>
        <v>2951.3846716330713</v>
      </c>
    </row>
    <row r="47" spans="2:14" ht="89.2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1734.3171285150756</v>
      </c>
      <c r="J47" s="30">
        <f>I47/C5/12</f>
        <v>0.06561032657356831</v>
      </c>
      <c r="K47" s="42">
        <f>J47*C5*3</f>
        <v>433.5792821287689</v>
      </c>
      <c r="L47" s="7">
        <f>J47*C5*6</f>
        <v>867.1585642575378</v>
      </c>
      <c r="M47" s="1">
        <f>J47*C5*9</f>
        <v>1300.7378463863067</v>
      </c>
      <c r="N47" s="1">
        <f>J47*C5*12</f>
        <v>1734.3171285150756</v>
      </c>
    </row>
    <row r="48" spans="2:14" ht="12.75">
      <c r="B48" s="1"/>
      <c r="C48" s="3"/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3"/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13366.261066879837</v>
      </c>
      <c r="J50" s="31">
        <f t="shared" si="2"/>
        <v>0.5056542077840263</v>
      </c>
      <c r="K50" s="43">
        <f t="shared" si="2"/>
        <v>3341.5652667199593</v>
      </c>
      <c r="L50" s="6">
        <f t="shared" si="2"/>
        <v>6683.1305334399185</v>
      </c>
      <c r="M50" s="2">
        <f t="shared" si="2"/>
        <v>10024.695800159876</v>
      </c>
      <c r="N50" s="2">
        <f t="shared" si="2"/>
        <v>13366.261066879837</v>
      </c>
    </row>
    <row r="51" spans="2:14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25.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10381.728108247915</v>
      </c>
      <c r="J52" s="30">
        <f>I52/C5/12</f>
        <v>0.3927474164793261</v>
      </c>
      <c r="K52" s="42">
        <f>J52*C5*3</f>
        <v>2595.4320270619787</v>
      </c>
      <c r="L52" s="7">
        <f>J52*C5*6</f>
        <v>5190.864054123957</v>
      </c>
      <c r="M52" s="1">
        <f>J52*C5*9</f>
        <v>7786.296081185937</v>
      </c>
      <c r="N52" s="1">
        <f>J52*C5*12</f>
        <v>10381.728108247915</v>
      </c>
    </row>
    <row r="53" spans="2:14" ht="38.25">
      <c r="B53" s="1" t="s">
        <v>84</v>
      </c>
      <c r="C53" s="3" t="s">
        <v>85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3529.7880913463105</v>
      </c>
      <c r="J53" s="30">
        <f>I53/C5/12</f>
        <v>0.13353414182503745</v>
      </c>
      <c r="K53" s="42">
        <f>J53*C5*3</f>
        <v>882.4470228365776</v>
      </c>
      <c r="L53" s="7">
        <f>J53*C5*6</f>
        <v>1764.8940456731552</v>
      </c>
      <c r="M53" s="1">
        <f>J53*C5*9</f>
        <v>2647.341068509733</v>
      </c>
      <c r="N53" s="1">
        <f>J53*C5*12</f>
        <v>3529.7880913463105</v>
      </c>
    </row>
    <row r="54" spans="2:14" ht="51">
      <c r="B54" s="1" t="s">
        <v>86</v>
      </c>
      <c r="C54" s="3" t="s">
        <v>87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6937.266286801886</v>
      </c>
      <c r="J54" s="30">
        <f>I54/C5/12</f>
        <v>0.2624412220356624</v>
      </c>
      <c r="K54" s="42">
        <f>J54*C5*3</f>
        <v>1734.3165717004717</v>
      </c>
      <c r="L54" s="7">
        <f>J54*C5*6</f>
        <v>3468.6331434009435</v>
      </c>
      <c r="M54" s="1">
        <f>J54*C5*9</f>
        <v>5202.949715101415</v>
      </c>
      <c r="N54" s="1">
        <f>J54*C5*12</f>
        <v>6937.266286801887</v>
      </c>
    </row>
    <row r="55" spans="2:14" ht="38.2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38.2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63.7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25.5">
      <c r="B58" s="1" t="s">
        <v>93</v>
      </c>
      <c r="C58" s="3" t="s">
        <v>94</v>
      </c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20848.78248639611</v>
      </c>
      <c r="J59" s="31">
        <f t="shared" si="3"/>
        <v>0.7887227803400259</v>
      </c>
      <c r="K59" s="43">
        <f t="shared" si="3"/>
        <v>5212.1956215990285</v>
      </c>
      <c r="L59" s="6">
        <f t="shared" si="3"/>
        <v>10424.391243198057</v>
      </c>
      <c r="M59" s="2">
        <f t="shared" si="3"/>
        <v>15636.586864797084</v>
      </c>
      <c r="N59" s="2">
        <f t="shared" si="3"/>
        <v>20848.782486396114</v>
      </c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63.75">
      <c r="B61" s="1" t="s">
        <v>96</v>
      </c>
      <c r="C61" s="3" t="s">
        <v>217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47173.874465454945</v>
      </c>
      <c r="J61" s="30">
        <f>I61/C5/12</f>
        <v>1.7846178524852816</v>
      </c>
      <c r="K61" s="42">
        <f>J61*C5*3</f>
        <v>11793.468616363734</v>
      </c>
      <c r="L61" s="7">
        <f>J61*C5*6</f>
        <v>23586.93723272747</v>
      </c>
      <c r="M61" s="1">
        <f>J61*C5*9</f>
        <v>35380.40584909121</v>
      </c>
      <c r="N61" s="1">
        <f>J61*C5*12</f>
        <v>47173.87446545494</v>
      </c>
    </row>
    <row r="62" spans="2:14" ht="12.75">
      <c r="B62" s="1" t="s">
        <v>98</v>
      </c>
      <c r="C62" s="3" t="s">
        <v>99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16039.118164612883</v>
      </c>
      <c r="J62" s="30">
        <f>I62/C5/12</f>
        <v>0.606770101863268</v>
      </c>
      <c r="K62" s="42">
        <f>J62*C5*3</f>
        <v>4009.7795411532206</v>
      </c>
      <c r="L62" s="7">
        <f>J62*C5*6</f>
        <v>8019.559082306441</v>
      </c>
      <c r="M62" s="1">
        <f>J62*C5*9</f>
        <v>12029.338623459662</v>
      </c>
      <c r="N62" s="1">
        <f>J62*C5*12</f>
        <v>16039.118164612883</v>
      </c>
    </row>
    <row r="63" spans="2:14" ht="25.5">
      <c r="B63" s="1" t="s">
        <v>100</v>
      </c>
      <c r="C63" s="3" t="s">
        <v>454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11190.717364466149</v>
      </c>
      <c r="J63" s="30">
        <f>I63/C5/12</f>
        <v>0.4233519976267382</v>
      </c>
      <c r="K63" s="42">
        <f>J63*C5*3</f>
        <v>2797.6793411165368</v>
      </c>
      <c r="L63" s="7">
        <f>J63*C5*6</f>
        <v>5595.3586822330735</v>
      </c>
      <c r="M63" s="1">
        <f>J63*C5*9</f>
        <v>8393.03802334961</v>
      </c>
      <c r="N63" s="1">
        <f>J63*C5*12</f>
        <v>11190.717364466147</v>
      </c>
    </row>
    <row r="64" spans="2:14" ht="25.5">
      <c r="B64" s="1" t="s">
        <v>102</v>
      </c>
      <c r="C64" s="3" t="s">
        <v>158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51">
      <c r="B65" s="1" t="s">
        <v>104</v>
      </c>
      <c r="C65" s="4" t="s">
        <v>420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51">
      <c r="B66" s="1" t="s">
        <v>105</v>
      </c>
      <c r="C66" s="3" t="s">
        <v>106</v>
      </c>
      <c r="D66" s="3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>
        <f>G66/5*C12</f>
        <v>6542.61</v>
      </c>
      <c r="J66" s="30">
        <f>I66/C5/12</f>
        <v>0.24751112220809876</v>
      </c>
      <c r="K66" s="42">
        <f>J66*C5*3</f>
        <v>1635.6525</v>
      </c>
      <c r="L66" s="7">
        <f>J66*C5*6</f>
        <v>3271.305</v>
      </c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80946.31999453397</v>
      </c>
      <c r="J67" s="31">
        <f t="shared" si="4"/>
        <v>3.0622510741833864</v>
      </c>
      <c r="K67" s="43">
        <f t="shared" si="4"/>
        <v>20236.579998633493</v>
      </c>
      <c r="L67" s="6">
        <f t="shared" si="4"/>
        <v>40473.15999726699</v>
      </c>
      <c r="M67" s="2">
        <f t="shared" si="4"/>
        <v>55802.78249590048</v>
      </c>
      <c r="N67" s="2">
        <f t="shared" si="4"/>
        <v>74403.70999453397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63.75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4322.469361445781</v>
      </c>
      <c r="J69" s="30">
        <f>I69/C5/12</f>
        <v>0.16352178142386134</v>
      </c>
      <c r="K69" s="42">
        <f>J69*C5*3</f>
        <v>1080.6173403614453</v>
      </c>
      <c r="L69" s="7">
        <f>J69*C5*6</f>
        <v>2161.2346807228905</v>
      </c>
      <c r="M69" s="1">
        <f>J69*C5*9</f>
        <v>3241.8520210843362</v>
      </c>
      <c r="N69" s="1">
        <f>J69*C5*12</f>
        <v>4322.469361445781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1469.6408747014466</v>
      </c>
      <c r="J70" s="30">
        <f>I70/C5/12</f>
        <v>0.05559745455410714</v>
      </c>
      <c r="K70" s="42">
        <f>J70*C5*3</f>
        <v>367.41021867536165</v>
      </c>
      <c r="L70" s="7">
        <f>J70*C5*6</f>
        <v>734.8204373507233</v>
      </c>
      <c r="M70" s="1">
        <f>J70*C5*9</f>
        <v>1102.230656026085</v>
      </c>
      <c r="N70" s="1">
        <f>J70*C5*12</f>
        <v>1469.6408747014466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1243.4093283988796</v>
      </c>
      <c r="J71" s="30">
        <f>I71/C5/12</f>
        <v>0.04703897041639729</v>
      </c>
      <c r="K71" s="42">
        <f>J71*C5*3</f>
        <v>310.8523320997199</v>
      </c>
      <c r="L71" s="7">
        <f>J71*C5*6</f>
        <v>621.7046641994398</v>
      </c>
      <c r="M71" s="1">
        <f>J71*C5*9</f>
        <v>932.5569962991597</v>
      </c>
      <c r="N71" s="1">
        <f>J71*C5*12</f>
        <v>1243.4093283988796</v>
      </c>
    </row>
    <row r="72" spans="2:14" ht="25.5">
      <c r="B72" s="1"/>
      <c r="C72" s="3"/>
      <c r="D72" s="3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7665.74460581429</v>
      </c>
      <c r="J72" s="30">
        <f>I72/C5/12</f>
        <v>0.29000002291834215</v>
      </c>
      <c r="K72" s="42">
        <f>J72*C5*3</f>
        <v>1916.4361514535722</v>
      </c>
      <c r="L72" s="7">
        <f>J72*C5*6</f>
        <v>3832.8723029071443</v>
      </c>
      <c r="M72" s="1">
        <f>J72*C5*9</f>
        <v>5749.3084543607165</v>
      </c>
      <c r="N72" s="1">
        <f>J72*C5*12</f>
        <v>7665.744605814289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14701.264170360397</v>
      </c>
      <c r="J74" s="31">
        <f t="shared" si="5"/>
        <v>0.5561582293127079</v>
      </c>
      <c r="K74" s="43">
        <f t="shared" si="5"/>
        <v>3675.3160425900987</v>
      </c>
      <c r="L74" s="6">
        <f t="shared" si="5"/>
        <v>7350.6320851801975</v>
      </c>
      <c r="M74" s="2">
        <f t="shared" si="5"/>
        <v>11025.948127770298</v>
      </c>
      <c r="N74" s="2">
        <f t="shared" si="5"/>
        <v>14701.264170360395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283664.1882398872</v>
      </c>
      <c r="J80" s="31">
        <f>J33+J42+J43+J50+J59+J67+J74</f>
        <v>10.73119772713089</v>
      </c>
      <c r="K80" s="43">
        <f>J80*C5*3</f>
        <v>70916.04705997178</v>
      </c>
      <c r="L80" s="6">
        <f>L33+L42+L43+L50+L59+L67+L74</f>
        <v>141832.0941199436</v>
      </c>
      <c r="M80" s="2">
        <f>M33+M42+M43+M50+M59+M67+M74</f>
        <v>207841.18367991535</v>
      </c>
      <c r="N80" s="2">
        <f>N33+N42+N43+N50+N59+N67+N74</f>
        <v>277121.57823988714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29695.680653042593</v>
      </c>
      <c r="J81" s="30">
        <f>I81/C5/12</f>
        <v>1.1234065981569892</v>
      </c>
      <c r="K81" s="42">
        <f>J81*C5*3</f>
        <v>7423.920163260648</v>
      </c>
      <c r="L81" s="7">
        <f>J81*C5*6</f>
        <v>14847.840326521296</v>
      </c>
      <c r="M81" s="1">
        <f>J81*C5*9</f>
        <v>22271.760489781944</v>
      </c>
      <c r="N81" s="1">
        <f>J81*C5*12</f>
        <v>29695.680653042593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79502.84196624516</v>
      </c>
      <c r="J82" s="30">
        <f>I82/C5/12</f>
        <v>3.0076433768478434</v>
      </c>
      <c r="K82" s="42">
        <f>J82*C5*3</f>
        <v>19875.71049156129</v>
      </c>
      <c r="L82" s="7">
        <f>J82*C5*6</f>
        <v>39751.42098312258</v>
      </c>
      <c r="M82" s="1">
        <f>J82*C5*9</f>
        <v>59627.13147468387</v>
      </c>
      <c r="N82" s="1">
        <f>J82*C5*12</f>
        <v>79502.84196624516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392862.7108591749</v>
      </c>
      <c r="J83" s="31">
        <f>J80+J81+J82</f>
        <v>14.862247702135724</v>
      </c>
      <c r="K83" s="43">
        <f>J83*C5*3</f>
        <v>98215.67771479372</v>
      </c>
      <c r="L83" s="6">
        <f>SUM(L80:L82)</f>
        <v>196431.35542958745</v>
      </c>
      <c r="M83" s="2">
        <f>SUM(M80:M82)</f>
        <v>289740.07564438117</v>
      </c>
      <c r="N83" s="2">
        <f>SUM(N80:N82)</f>
        <v>386320.10085917485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19643.13517302744</v>
      </c>
      <c r="J84" s="30"/>
      <c r="K84" s="42"/>
      <c r="L84" s="7"/>
      <c r="M84" s="1"/>
      <c r="N84" s="1"/>
    </row>
    <row r="85" spans="2:14" ht="25.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412505.84603220236</v>
      </c>
      <c r="J85" s="31">
        <f>J83+J84</f>
        <v>14.862247702135724</v>
      </c>
      <c r="K85" s="43">
        <f>J85*C5*3</f>
        <v>98215.67771479372</v>
      </c>
      <c r="L85" s="6">
        <f>L83+L84</f>
        <v>196431.35542958745</v>
      </c>
      <c r="M85" s="2">
        <f>M83+M84</f>
        <v>289740.07564438117</v>
      </c>
      <c r="N85" s="2">
        <f>N83+N84</f>
        <v>386320.10085917485</v>
      </c>
    </row>
    <row r="86" spans="2:14" ht="12.7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12.67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K15:K18"/>
    <mergeCell ref="L15:L18"/>
    <mergeCell ref="B14:B18"/>
    <mergeCell ref="C14:C18"/>
    <mergeCell ref="D14:D18"/>
    <mergeCell ref="E14:E18"/>
    <mergeCell ref="M15:M18"/>
    <mergeCell ref="N15:N18"/>
    <mergeCell ref="F14:F18"/>
    <mergeCell ref="G14:H14"/>
    <mergeCell ref="I14:J14"/>
    <mergeCell ref="K14:N14"/>
    <mergeCell ref="G15:G18"/>
    <mergeCell ref="H15:H18"/>
    <mergeCell ref="I15:I18"/>
    <mergeCell ref="J15:J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B4:O100"/>
  <sheetViews>
    <sheetView workbookViewId="0" topLeftCell="A4">
      <pane xSplit="1" ySplit="14" topLeftCell="B56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P63" sqref="P63:P64"/>
    </sheetView>
  </sheetViews>
  <sheetFormatPr defaultColWidth="9.140625" defaultRowHeight="12.75"/>
  <cols>
    <col min="1" max="1" width="10.28125" style="0" customWidth="1"/>
    <col min="3" max="3" width="42.7109375" style="0" customWidth="1"/>
    <col min="4" max="4" width="14.28125" style="0" customWidth="1"/>
    <col min="5" max="5" width="16.421875" style="0" hidden="1" customWidth="1"/>
    <col min="6" max="6" width="14.421875" style="0" hidden="1" customWidth="1"/>
    <col min="7" max="8" width="15.28125" style="0" hidden="1" customWidth="1"/>
    <col min="9" max="9" width="12.57421875" style="0" hidden="1" customWidth="1"/>
    <col min="10" max="10" width="11.8515625" style="0" customWidth="1"/>
    <col min="11" max="11" width="14.8515625" style="0" hidden="1" customWidth="1"/>
    <col min="12" max="12" width="13.00390625" style="0" hidden="1" customWidth="1"/>
    <col min="13" max="13" width="10.57421875" style="0" customWidth="1"/>
    <col min="14" max="14" width="13.8515625" style="0" customWidth="1"/>
    <col min="15" max="15" width="14.7109375" style="0" customWidth="1"/>
    <col min="16" max="16" width="11.28125" style="0" customWidth="1"/>
    <col min="17" max="17" width="10.421875" style="0" customWidth="1"/>
    <col min="18" max="18" width="12.28125" style="0" customWidth="1"/>
  </cols>
  <sheetData>
    <row r="4" spans="2:3" ht="12.75">
      <c r="B4" s="5" t="s">
        <v>487</v>
      </c>
      <c r="C4" s="5" t="s">
        <v>502</v>
      </c>
    </row>
    <row r="5" spans="2:3" ht="12.75">
      <c r="B5" t="s">
        <v>488</v>
      </c>
      <c r="C5">
        <v>4024.9</v>
      </c>
    </row>
    <row r="6" spans="2:3" ht="12.75">
      <c r="B6" t="s">
        <v>489</v>
      </c>
      <c r="C6">
        <v>2615</v>
      </c>
    </row>
    <row r="7" spans="2:3" ht="12.75">
      <c r="B7" t="s">
        <v>490</v>
      </c>
      <c r="C7">
        <v>491</v>
      </c>
    </row>
    <row r="8" spans="2:3" ht="12.75">
      <c r="B8" t="s">
        <v>491</v>
      </c>
      <c r="C8">
        <v>671.2</v>
      </c>
    </row>
    <row r="9" spans="2:3" ht="12.75">
      <c r="B9" t="s">
        <v>492</v>
      </c>
      <c r="C9">
        <v>2</v>
      </c>
    </row>
    <row r="10" spans="2:3" ht="12.75">
      <c r="B10" t="s">
        <v>493</v>
      </c>
      <c r="C10">
        <v>72</v>
      </c>
    </row>
    <row r="11" spans="2:3" ht="12.75">
      <c r="B11" t="s">
        <v>484</v>
      </c>
      <c r="C11">
        <v>2</v>
      </c>
    </row>
    <row r="13" spans="2:14" ht="12.75">
      <c r="B13" s="74" t="s">
        <v>40</v>
      </c>
      <c r="C13" s="74" t="s">
        <v>22</v>
      </c>
      <c r="D13" s="74" t="s">
        <v>41</v>
      </c>
      <c r="E13" s="74" t="s">
        <v>42</v>
      </c>
      <c r="F13" s="74" t="s">
        <v>43</v>
      </c>
      <c r="G13" s="74" t="s">
        <v>44</v>
      </c>
      <c r="H13" s="74"/>
      <c r="I13" s="79" t="s">
        <v>123</v>
      </c>
      <c r="J13" s="79"/>
      <c r="K13" s="74" t="s">
        <v>131</v>
      </c>
      <c r="L13" s="74"/>
      <c r="M13" s="74"/>
      <c r="N13" s="74"/>
    </row>
    <row r="14" spans="2:14" ht="12.75">
      <c r="B14" s="74"/>
      <c r="C14" s="74"/>
      <c r="D14" s="74"/>
      <c r="E14" s="74"/>
      <c r="F14" s="74"/>
      <c r="G14" s="74" t="s">
        <v>122</v>
      </c>
      <c r="H14" s="74" t="s">
        <v>45</v>
      </c>
      <c r="I14" s="74" t="s">
        <v>124</v>
      </c>
      <c r="J14" s="74" t="s">
        <v>125</v>
      </c>
      <c r="K14" s="74" t="s">
        <v>132</v>
      </c>
      <c r="L14" s="81" t="s">
        <v>172</v>
      </c>
      <c r="M14" s="81" t="s">
        <v>222</v>
      </c>
      <c r="N14" s="81" t="s">
        <v>305</v>
      </c>
    </row>
    <row r="15" spans="2:14" ht="12.7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81"/>
      <c r="M15" s="81"/>
      <c r="N15" s="81"/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4" t="s">
        <v>46</v>
      </c>
      <c r="D21" s="2"/>
      <c r="E21" s="2">
        <v>141634.46</v>
      </c>
      <c r="F21" s="2"/>
      <c r="G21" s="2">
        <v>98901.86</v>
      </c>
      <c r="H21" s="2">
        <v>42732.6</v>
      </c>
      <c r="I21" s="1"/>
      <c r="J21" s="1"/>
      <c r="K21" s="1"/>
      <c r="L21" s="1"/>
      <c r="M21" s="1"/>
      <c r="N21" s="1"/>
    </row>
    <row r="22" spans="2:14" ht="12.75">
      <c r="B22" s="1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 t="s">
        <v>47</v>
      </c>
      <c r="C23" s="4" t="s">
        <v>23</v>
      </c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</row>
    <row r="24" spans="2:14" ht="25.5">
      <c r="B24" s="1" t="s">
        <v>48</v>
      </c>
      <c r="C24" s="4" t="s">
        <v>24</v>
      </c>
      <c r="D24" s="2"/>
      <c r="E24" s="2">
        <v>17784</v>
      </c>
      <c r="F24" s="2"/>
      <c r="G24" s="2">
        <v>10809.7</v>
      </c>
      <c r="H24" s="2">
        <v>6974.3</v>
      </c>
      <c r="I24" s="1"/>
      <c r="J24" s="1"/>
      <c r="K24" s="1"/>
      <c r="L24" s="1"/>
      <c r="M24" s="1"/>
      <c r="N24" s="1"/>
    </row>
    <row r="25" spans="2:14" ht="25.5">
      <c r="B25" s="1" t="s">
        <v>49</v>
      </c>
      <c r="C25" s="3" t="s">
        <v>25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5" ht="25.5">
      <c r="B26" s="1" t="s">
        <v>50</v>
      </c>
      <c r="C26" s="3" t="s">
        <v>26</v>
      </c>
      <c r="D26" s="1" t="s">
        <v>51</v>
      </c>
      <c r="E26" s="1"/>
      <c r="F26" s="1">
        <v>2343012.48</v>
      </c>
      <c r="G26" s="1">
        <v>1045514.2</v>
      </c>
      <c r="H26" s="1">
        <v>1297498.3</v>
      </c>
      <c r="I26" s="1">
        <f>H26/H24*C8</f>
        <v>124870.00257516885</v>
      </c>
      <c r="J26" s="30">
        <f>I26/C5/12</f>
        <v>2.585364493013674</v>
      </c>
      <c r="K26" s="42">
        <f>J26*C5*3</f>
        <v>31217.500643792213</v>
      </c>
      <c r="L26" s="7">
        <f>J26*C5*6</f>
        <v>62435.001287584426</v>
      </c>
      <c r="M26" s="7">
        <f>J26*C5*9</f>
        <v>93652.50193137664</v>
      </c>
      <c r="N26" s="7">
        <f>J26*C5*12</f>
        <v>124870.00257516885</v>
      </c>
      <c r="O26" t="s">
        <v>143</v>
      </c>
    </row>
    <row r="27" spans="2:14" ht="25.5">
      <c r="B27" s="1" t="s">
        <v>52</v>
      </c>
      <c r="C27" s="3" t="s">
        <v>27</v>
      </c>
      <c r="D27" s="1" t="s">
        <v>53</v>
      </c>
      <c r="E27" s="1"/>
      <c r="F27" s="1">
        <v>796624.2</v>
      </c>
      <c r="G27" s="1">
        <v>355474.8</v>
      </c>
      <c r="H27" s="1">
        <v>441149.4</v>
      </c>
      <c r="I27" s="1">
        <f>H27/H24*C8</f>
        <v>42455.798758298326</v>
      </c>
      <c r="J27" s="30">
        <f>I27/C5/12</f>
        <v>0.8790238837879684</v>
      </c>
      <c r="K27" s="42">
        <f>J27*C5*3</f>
        <v>10613.949689574583</v>
      </c>
      <c r="L27" s="7">
        <f>J27*C5*6</f>
        <v>21227.899379149167</v>
      </c>
      <c r="M27" s="7">
        <f>J27*C5*9</f>
        <v>31841.849068723746</v>
      </c>
      <c r="N27" s="7">
        <f>J27*C5*12</f>
        <v>42455.79875829833</v>
      </c>
    </row>
    <row r="28" spans="2:14" ht="12.75">
      <c r="B28" s="1" t="s">
        <v>54</v>
      </c>
      <c r="C28" s="3" t="s">
        <v>28</v>
      </c>
      <c r="D28" s="1" t="s">
        <v>536</v>
      </c>
      <c r="E28" s="1"/>
      <c r="F28" s="1">
        <v>116909.87</v>
      </c>
      <c r="G28" s="1">
        <v>71061.7</v>
      </c>
      <c r="H28" s="1">
        <v>45848.2</v>
      </c>
      <c r="I28" s="1">
        <f>H28/H24*C8</f>
        <v>4412.38717003857</v>
      </c>
      <c r="J28" s="30">
        <f>I28/C5/12</f>
        <v>0.09135604135172239</v>
      </c>
      <c r="K28" s="42">
        <f>J28*C5*3</f>
        <v>1103.0967925096425</v>
      </c>
      <c r="L28" s="7">
        <f>J28*C5*6</f>
        <v>2206.193585019285</v>
      </c>
      <c r="M28" s="7">
        <f>J28*C5*9</f>
        <v>3309.290377528927</v>
      </c>
      <c r="N28" s="7">
        <f>J28*C5*12</f>
        <v>4412.38717003857</v>
      </c>
    </row>
    <row r="29" spans="2:14" ht="12.75">
      <c r="B29" s="1" t="s">
        <v>55</v>
      </c>
      <c r="C29" s="3" t="s">
        <v>29</v>
      </c>
      <c r="D29" s="1"/>
      <c r="E29" s="1">
        <v>15</v>
      </c>
      <c r="F29" s="1"/>
      <c r="G29" s="1"/>
      <c r="H29" s="1"/>
      <c r="I29" s="1"/>
      <c r="J29" s="1"/>
      <c r="K29" s="42"/>
      <c r="L29" s="7"/>
      <c r="M29" s="7"/>
      <c r="N29" s="7"/>
    </row>
    <row r="30" spans="2:14" ht="38.25">
      <c r="B30" s="1" t="s">
        <v>56</v>
      </c>
      <c r="C30" s="3" t="s">
        <v>57</v>
      </c>
      <c r="D30" s="3" t="s">
        <v>58</v>
      </c>
      <c r="E30" s="1"/>
      <c r="F30" s="1">
        <v>674</v>
      </c>
      <c r="G30" s="1"/>
      <c r="H30" s="1">
        <v>674</v>
      </c>
      <c r="I30" s="1">
        <f>H30/H24*C8</f>
        <v>64.86511908005104</v>
      </c>
      <c r="J30" s="30">
        <f>I30/C5/12</f>
        <v>0.001342996494323897</v>
      </c>
      <c r="K30" s="42">
        <f>J30*C5*3</f>
        <v>16.21627977001276</v>
      </c>
      <c r="L30" s="7">
        <f>J30*C5*6</f>
        <v>32.43255954002552</v>
      </c>
      <c r="M30" s="7">
        <f>J30*C5*9</f>
        <v>48.648839310038284</v>
      </c>
      <c r="N30" s="7">
        <f>J30*C5*12</f>
        <v>64.86511908005104</v>
      </c>
    </row>
    <row r="31" spans="2:14" ht="25.5">
      <c r="B31" s="1" t="s">
        <v>59</v>
      </c>
      <c r="C31" s="3" t="s">
        <v>30</v>
      </c>
      <c r="D31" s="1"/>
      <c r="E31" s="1"/>
      <c r="F31" s="1"/>
      <c r="G31" s="1"/>
      <c r="H31" s="1"/>
      <c r="I31" s="1"/>
      <c r="J31" s="1"/>
      <c r="K31" s="42"/>
      <c r="L31" s="7"/>
      <c r="M31" s="7"/>
      <c r="N31" s="7"/>
    </row>
    <row r="32" spans="2:14" ht="12.75">
      <c r="B32" s="1"/>
      <c r="C32" s="4" t="s">
        <v>60</v>
      </c>
      <c r="D32" s="2"/>
      <c r="E32" s="2"/>
      <c r="F32" s="2">
        <v>3257220.6</v>
      </c>
      <c r="G32" s="2">
        <v>1472050.7</v>
      </c>
      <c r="H32" s="2">
        <v>1785169.9</v>
      </c>
      <c r="I32" s="2">
        <f aca="true" t="shared" si="0" ref="I32:N32">SUM(I26:I31)</f>
        <v>171803.0536225858</v>
      </c>
      <c r="J32" s="31">
        <f t="shared" si="0"/>
        <v>3.5570874146476883</v>
      </c>
      <c r="K32" s="43">
        <f t="shared" si="0"/>
        <v>42950.76340564645</v>
      </c>
      <c r="L32" s="6">
        <f t="shared" si="0"/>
        <v>85901.5268112929</v>
      </c>
      <c r="M32" s="6">
        <f t="shared" si="0"/>
        <v>128852.29021693936</v>
      </c>
      <c r="N32" s="6">
        <f t="shared" si="0"/>
        <v>171803.0536225858</v>
      </c>
    </row>
    <row r="33" spans="2:14" ht="38.25">
      <c r="B33" s="1" t="s">
        <v>61</v>
      </c>
      <c r="C33" s="4" t="s">
        <v>31</v>
      </c>
      <c r="D33" s="2"/>
      <c r="E33" s="2">
        <v>111234.9</v>
      </c>
      <c r="F33" s="2"/>
      <c r="G33" s="2">
        <v>78376.2</v>
      </c>
      <c r="H33" s="2">
        <v>32858.7</v>
      </c>
      <c r="I33" s="1"/>
      <c r="J33" s="1"/>
      <c r="K33" s="1"/>
      <c r="L33" s="7"/>
      <c r="M33" s="7"/>
      <c r="N33" s="7"/>
    </row>
    <row r="34" spans="2:14" ht="12.75">
      <c r="B34" s="1" t="s">
        <v>62</v>
      </c>
      <c r="C34" s="3" t="s">
        <v>32</v>
      </c>
      <c r="D34" s="1" t="s">
        <v>51</v>
      </c>
      <c r="E34" s="1"/>
      <c r="F34" s="1">
        <v>815719.552</v>
      </c>
      <c r="G34" s="1">
        <v>574756.7</v>
      </c>
      <c r="H34" s="1">
        <v>240962.9</v>
      </c>
      <c r="I34" s="1">
        <f>H34/H33*(C7+C6)</f>
        <v>22777.24825997377</v>
      </c>
      <c r="J34" s="30">
        <f>I34/C5/12</f>
        <v>0.47159035545342265</v>
      </c>
      <c r="K34" s="42">
        <f>J34*C5*3</f>
        <v>5694.312064993443</v>
      </c>
      <c r="L34" s="7">
        <f>J34*C5*6</f>
        <v>11388.624129986885</v>
      </c>
      <c r="M34" s="7">
        <f>J34*C5*9</f>
        <v>17082.936194980328</v>
      </c>
      <c r="N34" s="7">
        <f>J34*C5*12</f>
        <v>22777.24825997377</v>
      </c>
    </row>
    <row r="35" spans="2:14" ht="12.75">
      <c r="B35" s="1" t="s">
        <v>63</v>
      </c>
      <c r="C35" s="3" t="s">
        <v>311</v>
      </c>
      <c r="D35" s="1" t="s">
        <v>53</v>
      </c>
      <c r="E35" s="1"/>
      <c r="F35" s="1">
        <v>277344.6</v>
      </c>
      <c r="G35" s="1">
        <v>195417.3</v>
      </c>
      <c r="H35" s="1">
        <v>81927.4</v>
      </c>
      <c r="I35" s="1">
        <f>H35/H33*(C7+C6)</f>
        <v>7744.265731754453</v>
      </c>
      <c r="J35" s="30">
        <f>I35/C5/12</f>
        <v>0.16034074825367198</v>
      </c>
      <c r="K35" s="42">
        <f>J35*C5*3</f>
        <v>1936.0664329386132</v>
      </c>
      <c r="L35" s="7">
        <f>J35*C5*6</f>
        <v>3872.1328658772263</v>
      </c>
      <c r="M35" s="7">
        <f>J35*C5*9</f>
        <v>5808.199298815839</v>
      </c>
      <c r="N35" s="7">
        <f>J35*C5*12</f>
        <v>7744.265731754453</v>
      </c>
    </row>
    <row r="36" spans="2:14" ht="12.75">
      <c r="B36" s="1" t="s">
        <v>65</v>
      </c>
      <c r="C36" s="3" t="s">
        <v>66</v>
      </c>
      <c r="D36" s="1" t="s">
        <v>536</v>
      </c>
      <c r="E36" s="1"/>
      <c r="F36" s="1">
        <v>115582.34</v>
      </c>
      <c r="G36" s="1">
        <v>81439.4</v>
      </c>
      <c r="H36" s="1">
        <v>34142.9</v>
      </c>
      <c r="I36" s="1"/>
      <c r="J36" s="30"/>
      <c r="K36" s="42">
        <f>J36*C5*3</f>
        <v>0</v>
      </c>
      <c r="L36" s="7">
        <f>J36*C5*6</f>
        <v>0</v>
      </c>
      <c r="M36" s="7">
        <f>J36*C5*9</f>
        <v>0</v>
      </c>
      <c r="N36" s="7">
        <f>J36*C5*12</f>
        <v>0</v>
      </c>
    </row>
    <row r="37" spans="2:14" ht="25.5">
      <c r="B37" s="1" t="s">
        <v>67</v>
      </c>
      <c r="C37" s="3" t="s">
        <v>34</v>
      </c>
      <c r="D37" s="1" t="s">
        <v>68</v>
      </c>
      <c r="E37" s="1"/>
      <c r="F37" s="1">
        <v>55220.9</v>
      </c>
      <c r="G37" s="1">
        <v>38908.7</v>
      </c>
      <c r="H37" s="1">
        <v>16312.2</v>
      </c>
      <c r="I37" s="1">
        <f>H37/H33*(C7+C6)</f>
        <v>1541.9262843630456</v>
      </c>
      <c r="J37" s="30">
        <f>I37/C5/12</f>
        <v>0.03192473279590891</v>
      </c>
      <c r="K37" s="42">
        <f>J37*C5*3</f>
        <v>385.48157109076135</v>
      </c>
      <c r="L37" s="7">
        <f>J37*C5*6</f>
        <v>770.9631421815227</v>
      </c>
      <c r="M37" s="7">
        <f>J37*C5*9</f>
        <v>1156.4447132722842</v>
      </c>
      <c r="N37" s="7">
        <f>J37*C5*12</f>
        <v>1541.9262843630454</v>
      </c>
    </row>
    <row r="38" spans="2:14" ht="25.5">
      <c r="B38" s="1" t="s">
        <v>69</v>
      </c>
      <c r="C38" s="3" t="s">
        <v>35</v>
      </c>
      <c r="D38" s="1"/>
      <c r="E38" s="1"/>
      <c r="F38" s="1"/>
      <c r="G38" s="1"/>
      <c r="H38" s="1"/>
      <c r="I38" s="1"/>
      <c r="J38" s="30"/>
      <c r="K38" s="42"/>
      <c r="L38" s="7"/>
      <c r="M38" s="7"/>
      <c r="N38" s="7"/>
    </row>
    <row r="39" spans="2:14" ht="12.75">
      <c r="B39" s="1" t="s">
        <v>70</v>
      </c>
      <c r="C39" s="3" t="s">
        <v>36</v>
      </c>
      <c r="D39" s="1" t="s">
        <v>71</v>
      </c>
      <c r="E39" s="1"/>
      <c r="F39" s="1"/>
      <c r="G39" s="1"/>
      <c r="H39" s="1"/>
      <c r="I39" s="1"/>
      <c r="J39" s="30"/>
      <c r="K39" s="42"/>
      <c r="L39" s="7"/>
      <c r="M39" s="7"/>
      <c r="N39" s="7"/>
    </row>
    <row r="40" spans="2:14" ht="12.75">
      <c r="B40" s="1" t="s">
        <v>72</v>
      </c>
      <c r="C40" s="3" t="s">
        <v>73</v>
      </c>
      <c r="D40" s="1"/>
      <c r="E40" s="1"/>
      <c r="F40" s="1">
        <v>30500</v>
      </c>
      <c r="G40" s="1">
        <v>21297.8</v>
      </c>
      <c r="H40" s="1">
        <v>9202.2</v>
      </c>
      <c r="I40" s="1">
        <f>H40/H21*C5</f>
        <v>866.7372165512982</v>
      </c>
      <c r="J40" s="30">
        <f>I40/C5/12</f>
        <v>0.017945315754248514</v>
      </c>
      <c r="K40" s="42">
        <f>J40*C5*3</f>
        <v>216.68430413782454</v>
      </c>
      <c r="L40" s="7">
        <f>J40*C5*6</f>
        <v>433.3686082756491</v>
      </c>
      <c r="M40" s="7">
        <f>J40*C5*9</f>
        <v>650.0529124134737</v>
      </c>
      <c r="N40" s="7">
        <f>J40*C5*12</f>
        <v>866.7372165512982</v>
      </c>
    </row>
    <row r="41" spans="2:14" ht="12.75">
      <c r="B41" s="1"/>
      <c r="C41" s="4" t="s">
        <v>60</v>
      </c>
      <c r="D41" s="2"/>
      <c r="E41" s="2"/>
      <c r="F41" s="2">
        <v>1294367.4</v>
      </c>
      <c r="G41" s="2">
        <v>911819.85</v>
      </c>
      <c r="H41" s="2">
        <v>382547.6</v>
      </c>
      <c r="I41" s="2">
        <f aca="true" t="shared" si="1" ref="I41:N41">SUM(I34:I40)</f>
        <v>32930.177492642564</v>
      </c>
      <c r="J41" s="31">
        <f t="shared" si="1"/>
        <v>0.681801152257252</v>
      </c>
      <c r="K41" s="43">
        <f t="shared" si="1"/>
        <v>8232.544373160641</v>
      </c>
      <c r="L41" s="6">
        <f t="shared" si="1"/>
        <v>16465.088746321282</v>
      </c>
      <c r="M41" s="6">
        <f t="shared" si="1"/>
        <v>24697.633119481925</v>
      </c>
      <c r="N41" s="6">
        <f t="shared" si="1"/>
        <v>32930.177492642564</v>
      </c>
    </row>
    <row r="42" spans="2:14" ht="12.75">
      <c r="B42" s="1" t="s">
        <v>74</v>
      </c>
      <c r="C42" s="4" t="s">
        <v>37</v>
      </c>
      <c r="D42" s="2"/>
      <c r="E42" s="2"/>
      <c r="F42" s="2">
        <v>5004925.7</v>
      </c>
      <c r="G42" s="2">
        <v>3548598.7</v>
      </c>
      <c r="H42" s="2">
        <v>1456327</v>
      </c>
      <c r="I42" s="2">
        <f>H42/H21*C5</f>
        <v>137168.59124649566</v>
      </c>
      <c r="J42" s="31">
        <f>I42/C5/12</f>
        <v>2.8399999843991086</v>
      </c>
      <c r="K42" s="43">
        <f>J42*C5*3</f>
        <v>34292.147811623916</v>
      </c>
      <c r="L42" s="6">
        <f>J42*C5*6</f>
        <v>68584.29562324783</v>
      </c>
      <c r="M42" s="6">
        <f>J42*C5*9</f>
        <v>102876.44343487176</v>
      </c>
      <c r="N42" s="6">
        <f>J42*C5*12</f>
        <v>137168.59124649566</v>
      </c>
    </row>
    <row r="43" spans="2:14" ht="25.5">
      <c r="B43" s="1" t="s">
        <v>75</v>
      </c>
      <c r="C43" s="4" t="s">
        <v>38</v>
      </c>
      <c r="D43" s="2"/>
      <c r="E43" s="2">
        <v>141634.46</v>
      </c>
      <c r="F43" s="2"/>
      <c r="G43" s="2">
        <v>98901.86</v>
      </c>
      <c r="H43" s="2">
        <v>42732.6</v>
      </c>
      <c r="I43" s="1"/>
      <c r="J43" s="1"/>
      <c r="K43" s="1"/>
      <c r="L43" s="7"/>
      <c r="M43" s="7"/>
      <c r="N43" s="7"/>
    </row>
    <row r="44" spans="2:14" ht="63.75">
      <c r="B44" s="1" t="s">
        <v>76</v>
      </c>
      <c r="C44" s="3" t="s">
        <v>436</v>
      </c>
      <c r="D44" s="1" t="s">
        <v>51</v>
      </c>
      <c r="E44" s="1"/>
      <c r="F44" s="1">
        <v>558138</v>
      </c>
      <c r="G44" s="1">
        <v>389741.9</v>
      </c>
      <c r="H44" s="1">
        <v>168396.1</v>
      </c>
      <c r="I44" s="1">
        <f>H44/H43*C5</f>
        <v>15860.899240626595</v>
      </c>
      <c r="J44" s="30">
        <f>I44/C5/12</f>
        <v>0.3283911658390394</v>
      </c>
      <c r="K44" s="42">
        <f>J44*C5*3</f>
        <v>3965.2248101566483</v>
      </c>
      <c r="L44" s="7">
        <f>J44*C5*6</f>
        <v>7930.449620313297</v>
      </c>
      <c r="M44" s="7">
        <f>J44*C5*9</f>
        <v>11895.674430469946</v>
      </c>
      <c r="N44" s="7">
        <f>J44*C5*12</f>
        <v>15860.899240626593</v>
      </c>
    </row>
    <row r="45" spans="2:14" ht="63.75">
      <c r="B45" s="1" t="s">
        <v>78</v>
      </c>
      <c r="C45" s="3" t="s">
        <v>459</v>
      </c>
      <c r="D45" s="1" t="s">
        <v>53</v>
      </c>
      <c r="E45" s="1"/>
      <c r="F45" s="1">
        <v>189767</v>
      </c>
      <c r="G45" s="1">
        <v>132512</v>
      </c>
      <c r="H45" s="1">
        <v>57255</v>
      </c>
      <c r="I45" s="1">
        <f>H45/H43*C5</f>
        <v>5392.736447115318</v>
      </c>
      <c r="J45" s="30">
        <f>I45/C5/12</f>
        <v>0.11165363212161207</v>
      </c>
      <c r="K45" s="42">
        <f>J45*C5*3</f>
        <v>1348.1841117788292</v>
      </c>
      <c r="L45" s="7">
        <f>J45*C5*6</f>
        <v>2696.3682235576584</v>
      </c>
      <c r="M45" s="7">
        <f>J45*C5*9</f>
        <v>4044.552335336488</v>
      </c>
      <c r="N45" s="7">
        <f>J45*C5*12</f>
        <v>5392.736447115317</v>
      </c>
    </row>
    <row r="46" spans="2:14" ht="76.5">
      <c r="B46" s="1" t="s">
        <v>80</v>
      </c>
      <c r="C46" s="29" t="s">
        <v>129</v>
      </c>
      <c r="D46" s="1" t="s">
        <v>536</v>
      </c>
      <c r="E46" s="1"/>
      <c r="F46" s="1">
        <v>111512.16</v>
      </c>
      <c r="G46" s="1">
        <v>77867.8</v>
      </c>
      <c r="H46" s="1">
        <v>33644.4</v>
      </c>
      <c r="I46" s="1">
        <f>H46/H43*C5</f>
        <v>3168.9002204406006</v>
      </c>
      <c r="J46" s="30">
        <f>I46/C5/12</f>
        <v>0.06561033028647918</v>
      </c>
      <c r="K46" s="42">
        <f>J46*C5*3</f>
        <v>792.2250551101503</v>
      </c>
      <c r="L46" s="7">
        <f>J46*C5*6</f>
        <v>1584.4501102203005</v>
      </c>
      <c r="M46" s="7">
        <f>J46*C5*9</f>
        <v>2376.675165330451</v>
      </c>
      <c r="N46" s="7">
        <f>J46*C5*12</f>
        <v>3168.900220440601</v>
      </c>
    </row>
    <row r="47" spans="2:14" ht="12.75">
      <c r="B47" s="1"/>
      <c r="C47" s="4" t="s">
        <v>277</v>
      </c>
      <c r="D47" s="1"/>
      <c r="E47" s="1"/>
      <c r="F47" s="1"/>
      <c r="G47" s="1"/>
      <c r="H47" s="1"/>
      <c r="I47" s="1"/>
      <c r="J47" s="30"/>
      <c r="K47" s="42"/>
      <c r="L47" s="7"/>
      <c r="M47" s="7"/>
      <c r="N47" s="7"/>
    </row>
    <row r="48" spans="2:14" ht="12.75">
      <c r="B48" s="1"/>
      <c r="C48" s="4" t="s">
        <v>249</v>
      </c>
      <c r="D48" s="1" t="s">
        <v>71</v>
      </c>
      <c r="E48" s="1"/>
      <c r="F48" s="1"/>
      <c r="G48" s="1"/>
      <c r="H48" s="1"/>
      <c r="I48" s="1"/>
      <c r="J48" s="30"/>
      <c r="K48" s="42"/>
      <c r="L48" s="7"/>
      <c r="M48" s="7"/>
      <c r="N48" s="7"/>
    </row>
    <row r="49" spans="2:14" ht="12.75">
      <c r="B49" s="1"/>
      <c r="C49" s="4" t="s">
        <v>60</v>
      </c>
      <c r="D49" s="2"/>
      <c r="E49" s="2"/>
      <c r="F49" s="2">
        <v>859417.1</v>
      </c>
      <c r="G49" s="2">
        <v>600121.9</v>
      </c>
      <c r="H49" s="2">
        <v>259295.1</v>
      </c>
      <c r="I49" s="2">
        <f aca="true" t="shared" si="2" ref="I49:N49">SUM(I44:I48)</f>
        <v>24422.535908182515</v>
      </c>
      <c r="J49" s="31">
        <f t="shared" si="2"/>
        <v>0.5056551282471307</v>
      </c>
      <c r="K49" s="43">
        <f t="shared" si="2"/>
        <v>6105.633977045628</v>
      </c>
      <c r="L49" s="6">
        <f t="shared" si="2"/>
        <v>12211.267954091256</v>
      </c>
      <c r="M49" s="6">
        <f t="shared" si="2"/>
        <v>18316.901931136883</v>
      </c>
      <c r="N49" s="6">
        <f t="shared" si="2"/>
        <v>24422.53590818251</v>
      </c>
    </row>
    <row r="50" spans="2:14" ht="38.25">
      <c r="B50" s="1" t="s">
        <v>81</v>
      </c>
      <c r="C50" s="4" t="s">
        <v>39</v>
      </c>
      <c r="D50" s="2"/>
      <c r="E50" s="2">
        <v>141634.46</v>
      </c>
      <c r="F50" s="2"/>
      <c r="G50" s="2">
        <v>98901.86</v>
      </c>
      <c r="H50" s="2">
        <v>42732.6</v>
      </c>
      <c r="I50" s="1"/>
      <c r="J50" s="1"/>
      <c r="K50" s="1"/>
      <c r="L50" s="7"/>
      <c r="M50" s="7"/>
      <c r="N50" s="7"/>
    </row>
    <row r="51" spans="2:14" ht="25.5">
      <c r="B51" s="1" t="s">
        <v>82</v>
      </c>
      <c r="C51" s="3" t="s">
        <v>83</v>
      </c>
      <c r="D51" s="1" t="s">
        <v>51</v>
      </c>
      <c r="E51" s="1"/>
      <c r="F51" s="1">
        <v>667518.8</v>
      </c>
      <c r="G51" s="1">
        <v>466121.4</v>
      </c>
      <c r="H51" s="1">
        <v>201397.4</v>
      </c>
      <c r="I51" s="1">
        <f>H51/H50*C5</f>
        <v>18969.22713010676</v>
      </c>
      <c r="J51" s="30">
        <f>I51/C5/12</f>
        <v>0.3927473794402088</v>
      </c>
      <c r="K51" s="42">
        <f>J51*C5*3</f>
        <v>4742.30678252669</v>
      </c>
      <c r="L51" s="7">
        <f>J51*C5*6</f>
        <v>9484.61356505338</v>
      </c>
      <c r="M51" s="7">
        <f>J51*C5*9</f>
        <v>14226.920347580068</v>
      </c>
      <c r="N51" s="7">
        <f>J51*C5*12</f>
        <v>18969.22713010676</v>
      </c>
    </row>
    <row r="52" spans="2:14" ht="25.5">
      <c r="B52" s="1" t="s">
        <v>84</v>
      </c>
      <c r="C52" s="3" t="s">
        <v>427</v>
      </c>
      <c r="D52" s="1" t="s">
        <v>53</v>
      </c>
      <c r="E52" s="1"/>
      <c r="F52" s="1">
        <v>226956</v>
      </c>
      <c r="G52" s="1">
        <v>158481.3</v>
      </c>
      <c r="H52" s="1">
        <v>68475.1</v>
      </c>
      <c r="I52" s="1">
        <f>H52/H50*C5</f>
        <v>6449.535717227597</v>
      </c>
      <c r="J52" s="30">
        <f>I52/C5/12</f>
        <v>0.1335340778078875</v>
      </c>
      <c r="K52" s="42">
        <f>J52*C5*3</f>
        <v>1612.3839293068993</v>
      </c>
      <c r="L52" s="7">
        <f>J52*C5*6</f>
        <v>3224.7678586137986</v>
      </c>
      <c r="M52" s="7">
        <f>J52*C5*9</f>
        <v>4837.151787920698</v>
      </c>
      <c r="N52" s="7">
        <f>J52*C5*12</f>
        <v>6449.535717227597</v>
      </c>
    </row>
    <row r="53" spans="2:14" ht="38.25">
      <c r="B53" s="1" t="s">
        <v>86</v>
      </c>
      <c r="C53" s="3" t="s">
        <v>87</v>
      </c>
      <c r="D53" s="1" t="s">
        <v>536</v>
      </c>
      <c r="E53" s="1"/>
      <c r="F53" s="1">
        <v>446048.65</v>
      </c>
      <c r="G53" s="1">
        <v>311471.1</v>
      </c>
      <c r="H53" s="1">
        <v>134577.5</v>
      </c>
      <c r="I53" s="1">
        <f>H53/H50*C5</f>
        <v>12675.591462958024</v>
      </c>
      <c r="J53" s="30">
        <f>I53/C5/12</f>
        <v>0.2624411261347699</v>
      </c>
      <c r="K53" s="42">
        <f>J53*C5*3</f>
        <v>3168.897865739506</v>
      </c>
      <c r="L53" s="7">
        <f>J53*C5*6</f>
        <v>6337.795731479012</v>
      </c>
      <c r="M53" s="7">
        <f>J53*C5*9</f>
        <v>9506.693597218518</v>
      </c>
      <c r="N53" s="7">
        <f>J53*C5*12</f>
        <v>12675.591462958024</v>
      </c>
    </row>
    <row r="54" spans="2:14" ht="25.5">
      <c r="B54" s="1" t="s">
        <v>88</v>
      </c>
      <c r="C54" s="3" t="s">
        <v>130</v>
      </c>
      <c r="D54" s="1"/>
      <c r="E54" s="1"/>
      <c r="F54" s="1"/>
      <c r="G54" s="1"/>
      <c r="H54" s="1"/>
      <c r="I54" s="1"/>
      <c r="J54" s="30"/>
      <c r="K54" s="42"/>
      <c r="L54" s="7"/>
      <c r="M54" s="7"/>
      <c r="N54" s="7"/>
    </row>
    <row r="55" spans="2:14" ht="25.5">
      <c r="B55" s="1" t="s">
        <v>89</v>
      </c>
      <c r="C55" s="3" t="s">
        <v>90</v>
      </c>
      <c r="D55" s="1" t="s">
        <v>71</v>
      </c>
      <c r="E55" s="1"/>
      <c r="F55" s="1"/>
      <c r="G55" s="1"/>
      <c r="H55" s="1"/>
      <c r="I55" s="1"/>
      <c r="J55" s="30"/>
      <c r="K55" s="42"/>
      <c r="L55" s="7"/>
      <c r="M55" s="7"/>
      <c r="N55" s="7"/>
    </row>
    <row r="56" spans="2:14" ht="51">
      <c r="B56" s="1" t="s">
        <v>91</v>
      </c>
      <c r="C56" s="3" t="s">
        <v>435</v>
      </c>
      <c r="D56" s="1"/>
      <c r="E56" s="1"/>
      <c r="F56" s="1"/>
      <c r="G56" s="1"/>
      <c r="H56" s="1"/>
      <c r="I56" s="1"/>
      <c r="J56" s="30"/>
      <c r="K56" s="42"/>
      <c r="L56" s="7"/>
      <c r="M56" s="7"/>
      <c r="N56" s="7"/>
    </row>
    <row r="57" spans="2:14" ht="25.5">
      <c r="B57" s="1" t="s">
        <v>93</v>
      </c>
      <c r="C57" s="3" t="s">
        <v>94</v>
      </c>
      <c r="D57" s="1"/>
      <c r="E57" s="1"/>
      <c r="F57" s="1"/>
      <c r="G57" s="1"/>
      <c r="H57" s="1"/>
      <c r="I57" s="1"/>
      <c r="J57" s="30"/>
      <c r="K57" s="42"/>
      <c r="L57" s="7"/>
      <c r="M57" s="7"/>
      <c r="N57" s="7"/>
    </row>
    <row r="58" spans="2:14" ht="12.75">
      <c r="B58" s="1"/>
      <c r="C58" s="4" t="s">
        <v>60</v>
      </c>
      <c r="D58" s="2"/>
      <c r="E58" s="2"/>
      <c r="F58" s="2">
        <v>1340523.8</v>
      </c>
      <c r="G58" s="2">
        <v>936073.8</v>
      </c>
      <c r="H58" s="2">
        <v>404450.1</v>
      </c>
      <c r="I58" s="2">
        <f aca="true" t="shared" si="3" ref="I58:N58">SUM(I51:I57)</f>
        <v>38094.35431029238</v>
      </c>
      <c r="J58" s="31">
        <f t="shared" si="3"/>
        <v>0.7887225833828662</v>
      </c>
      <c r="K58" s="43">
        <f t="shared" si="3"/>
        <v>9523.588577573095</v>
      </c>
      <c r="L58" s="6">
        <f t="shared" si="3"/>
        <v>19047.17715514619</v>
      </c>
      <c r="M58" s="6">
        <f t="shared" si="3"/>
        <v>28570.765732719286</v>
      </c>
      <c r="N58" s="6">
        <f t="shared" si="3"/>
        <v>38094.35431029238</v>
      </c>
    </row>
    <row r="59" spans="2:14" ht="38.25">
      <c r="B59" s="1" t="s">
        <v>95</v>
      </c>
      <c r="C59" s="4" t="s">
        <v>481</v>
      </c>
      <c r="D59" s="2"/>
      <c r="E59" s="2">
        <v>141634.46</v>
      </c>
      <c r="F59" s="2"/>
      <c r="G59" s="2">
        <v>98901.86</v>
      </c>
      <c r="H59" s="2">
        <v>42732.6</v>
      </c>
      <c r="I59" s="1"/>
      <c r="J59" s="1"/>
      <c r="K59" s="1"/>
      <c r="L59" s="7"/>
      <c r="M59" s="7"/>
      <c r="N59" s="7"/>
    </row>
    <row r="60" spans="2:14" ht="38.25">
      <c r="B60" s="1" t="s">
        <v>96</v>
      </c>
      <c r="C60" s="3" t="s">
        <v>364</v>
      </c>
      <c r="D60" s="1" t="s">
        <v>51</v>
      </c>
      <c r="E60" s="1"/>
      <c r="F60" s="1">
        <v>3033160.58</v>
      </c>
      <c r="G60" s="1">
        <v>2118024.3</v>
      </c>
      <c r="H60" s="1">
        <v>915136.3</v>
      </c>
      <c r="I60" s="1">
        <f>H60/H59*C5</f>
        <v>86194.8978969218</v>
      </c>
      <c r="J60" s="30">
        <f>I60/C5/12</f>
        <v>1.784617793753091</v>
      </c>
      <c r="K60" s="42">
        <f>J60*C5*3</f>
        <v>21548.724474230447</v>
      </c>
      <c r="L60" s="7">
        <f>J60*C5*6</f>
        <v>43097.44894846089</v>
      </c>
      <c r="M60" s="7">
        <f>J60*C5*9</f>
        <v>64646.17342269135</v>
      </c>
      <c r="N60" s="7">
        <f>J60*C5*12</f>
        <v>86194.89789692179</v>
      </c>
    </row>
    <row r="61" spans="2:14" ht="12.75">
      <c r="B61" s="1" t="s">
        <v>98</v>
      </c>
      <c r="C61" s="3" t="s">
        <v>287</v>
      </c>
      <c r="D61" s="1" t="s">
        <v>53</v>
      </c>
      <c r="E61" s="1"/>
      <c r="F61" s="1">
        <v>1031274.6</v>
      </c>
      <c r="G61" s="1">
        <v>720128.3</v>
      </c>
      <c r="H61" s="1">
        <v>311146.3</v>
      </c>
      <c r="I61" s="1">
        <f>H61/H59*C5</f>
        <v>29306.26132905557</v>
      </c>
      <c r="J61" s="30">
        <f>I61/C5/12</f>
        <v>0.6067699679713693</v>
      </c>
      <c r="K61" s="42">
        <f>J61*C5*3</f>
        <v>7326.565332263894</v>
      </c>
      <c r="L61" s="7">
        <f>J61*C5*6</f>
        <v>14653.130664527787</v>
      </c>
      <c r="M61" s="7">
        <f>J61*C5*9</f>
        <v>21979.69599679168</v>
      </c>
      <c r="N61" s="7">
        <f>J61*C5*12</f>
        <v>29306.261329055575</v>
      </c>
    </row>
    <row r="62" spans="2:14" ht="12.75">
      <c r="B62" s="1" t="s">
        <v>100</v>
      </c>
      <c r="C62" s="3" t="s">
        <v>187</v>
      </c>
      <c r="D62" s="1" t="s">
        <v>536</v>
      </c>
      <c r="E62" s="1"/>
      <c r="F62" s="1">
        <v>719534.71</v>
      </c>
      <c r="G62" s="1">
        <v>502443.6</v>
      </c>
      <c r="H62" s="1">
        <v>217091.2</v>
      </c>
      <c r="I62" s="1">
        <f>H62/H59*C5</f>
        <v>20447.395451716024</v>
      </c>
      <c r="J62" s="30">
        <f>I62/C5/12</f>
        <v>0.423352038802538</v>
      </c>
      <c r="K62" s="42">
        <f>J62*C5*3</f>
        <v>5111.848862929006</v>
      </c>
      <c r="L62" s="7">
        <f>J62*C5*6</f>
        <v>10223.697725858012</v>
      </c>
      <c r="M62" s="7">
        <f>J62*C5*9</f>
        <v>15335.546588787018</v>
      </c>
      <c r="N62" s="7">
        <f>J62*C5*12</f>
        <v>20447.395451716024</v>
      </c>
    </row>
    <row r="63" spans="2:14" ht="25.5">
      <c r="B63" s="1" t="s">
        <v>102</v>
      </c>
      <c r="C63" s="4" t="s">
        <v>159</v>
      </c>
      <c r="D63" s="1"/>
      <c r="E63" s="1"/>
      <c r="F63" s="1"/>
      <c r="G63" s="1"/>
      <c r="H63" s="1"/>
      <c r="I63" s="1"/>
      <c r="J63" s="30"/>
      <c r="K63" s="42"/>
      <c r="L63" s="7"/>
      <c r="M63" s="7"/>
      <c r="N63" s="7"/>
    </row>
    <row r="64" spans="2:14" ht="38.25">
      <c r="B64" s="1" t="s">
        <v>104</v>
      </c>
      <c r="C64" s="4" t="s">
        <v>401</v>
      </c>
      <c r="D64" s="1" t="s">
        <v>71</v>
      </c>
      <c r="E64" s="1"/>
      <c r="F64" s="1"/>
      <c r="G64" s="1"/>
      <c r="H64" s="1"/>
      <c r="I64" s="1"/>
      <c r="J64" s="30"/>
      <c r="K64" s="42"/>
      <c r="L64" s="7"/>
      <c r="M64" s="7"/>
      <c r="N64" s="7"/>
    </row>
    <row r="65" spans="2:14" ht="38.25">
      <c r="B65" s="1" t="s">
        <v>105</v>
      </c>
      <c r="C65" s="3" t="s">
        <v>106</v>
      </c>
      <c r="D65" s="3" t="s">
        <v>107</v>
      </c>
      <c r="E65" s="3" t="s">
        <v>108</v>
      </c>
      <c r="F65" s="1">
        <v>71968.71</v>
      </c>
      <c r="G65" s="1">
        <v>32713.05</v>
      </c>
      <c r="H65" s="1">
        <v>39255.66</v>
      </c>
      <c r="I65" s="1">
        <f>H65/6*C12</f>
        <v>0</v>
      </c>
      <c r="J65" s="30">
        <f>I65/C5/12</f>
        <v>0</v>
      </c>
      <c r="K65" s="42">
        <f>J65*C5*3</f>
        <v>0</v>
      </c>
      <c r="L65" s="7"/>
      <c r="M65" s="7">
        <f>J65*C5*9</f>
        <v>0</v>
      </c>
      <c r="N65" s="7"/>
    </row>
    <row r="66" spans="2:14" ht="12.75">
      <c r="B66" s="1"/>
      <c r="C66" s="4" t="s">
        <v>60</v>
      </c>
      <c r="D66" s="2"/>
      <c r="E66" s="2"/>
      <c r="F66" s="2">
        <v>4855938.6</v>
      </c>
      <c r="G66" s="2">
        <v>3373309.1</v>
      </c>
      <c r="H66" s="2">
        <v>1482629.5</v>
      </c>
      <c r="I66" s="2">
        <f aca="true" t="shared" si="4" ref="I66:N66">SUM(I60:I65)</f>
        <v>135948.5546776934</v>
      </c>
      <c r="J66" s="31">
        <f t="shared" si="4"/>
        <v>2.8147398005269983</v>
      </c>
      <c r="K66" s="43">
        <f t="shared" si="4"/>
        <v>33987.138669423344</v>
      </c>
      <c r="L66" s="6">
        <f t="shared" si="4"/>
        <v>67974.27733884669</v>
      </c>
      <c r="M66" s="6">
        <f t="shared" si="4"/>
        <v>101961.41600827005</v>
      </c>
      <c r="N66" s="6">
        <f t="shared" si="4"/>
        <v>135948.55467769338</v>
      </c>
    </row>
    <row r="67" spans="2:14" ht="12.75">
      <c r="B67" s="1" t="s">
        <v>109</v>
      </c>
      <c r="C67" s="4" t="s">
        <v>482</v>
      </c>
      <c r="D67" s="2"/>
      <c r="E67" s="2">
        <v>141634.46</v>
      </c>
      <c r="F67" s="2"/>
      <c r="G67" s="2">
        <v>98901.86</v>
      </c>
      <c r="H67" s="2">
        <v>42732.6</v>
      </c>
      <c r="I67" s="1"/>
      <c r="J67" s="1"/>
      <c r="K67" s="1"/>
      <c r="L67" s="7"/>
      <c r="M67" s="7"/>
      <c r="N67" s="7"/>
    </row>
    <row r="68" spans="2:14" ht="51">
      <c r="B68" s="1" t="s">
        <v>110</v>
      </c>
      <c r="C68" s="3" t="s">
        <v>483</v>
      </c>
      <c r="D68" s="1" t="s">
        <v>111</v>
      </c>
      <c r="E68" s="1"/>
      <c r="F68" s="1">
        <v>277923.9</v>
      </c>
      <c r="G68" s="1">
        <v>194071.3</v>
      </c>
      <c r="H68" s="1">
        <v>83852.6</v>
      </c>
      <c r="I68" s="1">
        <f>H68/H67*C5</f>
        <v>7897.9123605865325</v>
      </c>
      <c r="J68" s="30">
        <f>I68/C5/12</f>
        <v>0.16352191691277077</v>
      </c>
      <c r="K68" s="42">
        <f>J68*C5*3</f>
        <v>1974.4780901466331</v>
      </c>
      <c r="L68" s="7">
        <f>J68*C5*6</f>
        <v>3948.9561802932662</v>
      </c>
      <c r="M68" s="7">
        <f>J68*C5*9</f>
        <v>5923.4342704399</v>
      </c>
      <c r="N68" s="7">
        <f>J68*C5*12</f>
        <v>7897.9123605865325</v>
      </c>
    </row>
    <row r="69" spans="2:14" ht="12.75">
      <c r="B69" s="1"/>
      <c r="C69" s="3"/>
      <c r="D69" s="1" t="s">
        <v>53</v>
      </c>
      <c r="E69" s="1"/>
      <c r="F69" s="1">
        <v>94494.1</v>
      </c>
      <c r="G69" s="1">
        <v>65984.3</v>
      </c>
      <c r="H69" s="1">
        <v>28509.9</v>
      </c>
      <c r="I69" s="1">
        <f>H69/H67*C5</f>
        <v>2685.2917096081214</v>
      </c>
      <c r="J69" s="30">
        <f>I69/C5/12</f>
        <v>0.05559748295212555</v>
      </c>
      <c r="K69" s="42">
        <f>J69*C5*3</f>
        <v>671.3229274020305</v>
      </c>
      <c r="L69" s="7">
        <f>J69*C5*6</f>
        <v>1342.645854804061</v>
      </c>
      <c r="M69" s="7">
        <f>J69*C5*9</f>
        <v>2013.9687822060912</v>
      </c>
      <c r="N69" s="7">
        <f>J69*C5*12</f>
        <v>2685.291709608122</v>
      </c>
    </row>
    <row r="70" spans="2:14" ht="12.75">
      <c r="B70" s="1"/>
      <c r="C70" s="3"/>
      <c r="D70" s="1" t="s">
        <v>536</v>
      </c>
      <c r="E70" s="1"/>
      <c r="F70" s="1">
        <v>79948</v>
      </c>
      <c r="G70" s="1">
        <v>55826.9</v>
      </c>
      <c r="H70" s="1">
        <v>24121.1</v>
      </c>
      <c r="I70" s="1">
        <f>H70/H67*C5</f>
        <v>2271.919223028788</v>
      </c>
      <c r="J70" s="30">
        <f>I70/C5/12</f>
        <v>0.04703883373973656</v>
      </c>
      <c r="K70" s="42">
        <f>J70*C5*3</f>
        <v>567.979805757197</v>
      </c>
      <c r="L70" s="7">
        <f>J70*C5*6</f>
        <v>1135.959611514394</v>
      </c>
      <c r="M70" s="7">
        <f>J70*C5*9</f>
        <v>1703.939417271591</v>
      </c>
      <c r="N70" s="7">
        <f>J70*C5*12</f>
        <v>2271.919223028788</v>
      </c>
    </row>
    <row r="71" spans="2:14" ht="25.5">
      <c r="B71" s="1"/>
      <c r="C71" s="3"/>
      <c r="D71" s="3" t="s">
        <v>112</v>
      </c>
      <c r="E71" s="1"/>
      <c r="F71" s="1">
        <v>882609.2</v>
      </c>
      <c r="G71" s="1">
        <v>344178.5</v>
      </c>
      <c r="H71" s="1">
        <v>538430.8</v>
      </c>
      <c r="I71" s="1">
        <f>H71/H67*C5</f>
        <v>50713.74376752176</v>
      </c>
      <c r="J71" s="30">
        <f>I71/C5/12</f>
        <v>1.050000078004459</v>
      </c>
      <c r="K71" s="42">
        <f>J71*C5*3</f>
        <v>12678.435941880442</v>
      </c>
      <c r="L71" s="7">
        <f>J71*C5*6</f>
        <v>25356.871883760883</v>
      </c>
      <c r="M71" s="7">
        <f>J71*C5*9</f>
        <v>38035.30782564133</v>
      </c>
      <c r="N71" s="7">
        <f>J71*C5*12</f>
        <v>50713.743767521766</v>
      </c>
    </row>
    <row r="72" spans="2:14" ht="12.75">
      <c r="B72" s="1"/>
      <c r="C72" s="3"/>
      <c r="D72" s="1"/>
      <c r="E72" s="1"/>
      <c r="F72" s="1"/>
      <c r="G72" s="1"/>
      <c r="H72" s="1"/>
      <c r="I72" s="1"/>
      <c r="J72" s="30"/>
      <c r="K72" s="42"/>
      <c r="L72" s="7"/>
      <c r="M72" s="7"/>
      <c r="N72" s="7"/>
    </row>
    <row r="73" spans="2:14" ht="12.75">
      <c r="B73" s="1"/>
      <c r="C73" s="4" t="s">
        <v>60</v>
      </c>
      <c r="D73" s="2"/>
      <c r="E73" s="2"/>
      <c r="F73" s="2">
        <v>1334975.3</v>
      </c>
      <c r="G73" s="2">
        <v>660060.9</v>
      </c>
      <c r="H73" s="2">
        <v>674914.3</v>
      </c>
      <c r="I73" s="2">
        <f aca="true" t="shared" si="5" ref="I73:N73">SUM(I68:I72)</f>
        <v>63568.8670607452</v>
      </c>
      <c r="J73" s="31">
        <f t="shared" si="5"/>
        <v>1.3161583116090918</v>
      </c>
      <c r="K73" s="43">
        <f t="shared" si="5"/>
        <v>15892.216765186302</v>
      </c>
      <c r="L73" s="6">
        <f t="shared" si="5"/>
        <v>31784.433530372604</v>
      </c>
      <c r="M73" s="6">
        <f t="shared" si="5"/>
        <v>47676.65029555891</v>
      </c>
      <c r="N73" s="6">
        <f t="shared" si="5"/>
        <v>63568.86706074521</v>
      </c>
    </row>
    <row r="74" spans="2:14" ht="12.75">
      <c r="B74" s="1" t="s">
        <v>113</v>
      </c>
      <c r="C74" s="4" t="s">
        <v>484</v>
      </c>
      <c r="D74" s="2"/>
      <c r="E74" s="2">
        <v>15</v>
      </c>
      <c r="F74" s="2">
        <v>1600212</v>
      </c>
      <c r="G74" s="2"/>
      <c r="H74" s="2">
        <v>1600212</v>
      </c>
      <c r="I74" s="2">
        <f>I75+I76</f>
        <v>199474.044</v>
      </c>
      <c r="J74" s="31">
        <f>J75+J76</f>
        <v>4.13</v>
      </c>
      <c r="K74" s="2">
        <f>J74*C5*3</f>
        <v>49868.511</v>
      </c>
      <c r="L74" s="6">
        <f>J74*C5*6</f>
        <v>99737.022</v>
      </c>
      <c r="M74" s="6">
        <f>J74*C5*9</f>
        <v>149605.533</v>
      </c>
      <c r="N74" s="6">
        <f>J74*C5*12</f>
        <v>199474.044</v>
      </c>
    </row>
    <row r="75" spans="2:14" ht="12.75">
      <c r="B75" s="1"/>
      <c r="C75" s="3" t="s">
        <v>114</v>
      </c>
      <c r="D75" s="1"/>
      <c r="E75" s="1"/>
      <c r="F75" s="1">
        <v>1431000</v>
      </c>
      <c r="G75" s="1"/>
      <c r="H75" s="1">
        <v>1431000</v>
      </c>
      <c r="I75" s="1">
        <f>2.79*C5*12</f>
        <v>134753.652</v>
      </c>
      <c r="J75" s="30">
        <f>I75/C5/12</f>
        <v>2.7899999999999996</v>
      </c>
      <c r="K75" s="1">
        <f>J75*C5*3</f>
        <v>33688.41299999999</v>
      </c>
      <c r="L75" s="7">
        <f>J75*C5*6</f>
        <v>67376.82599999999</v>
      </c>
      <c r="M75" s="7">
        <f>J75*C5*9</f>
        <v>101065.23899999997</v>
      </c>
      <c r="N75" s="7">
        <f>J75*C5*12</f>
        <v>134753.65199999997</v>
      </c>
    </row>
    <row r="76" spans="2:14" ht="12.75">
      <c r="B76" s="1"/>
      <c r="C76" s="3" t="s">
        <v>115</v>
      </c>
      <c r="D76" s="1"/>
      <c r="E76" s="1"/>
      <c r="F76" s="1">
        <v>169212</v>
      </c>
      <c r="G76" s="1"/>
      <c r="H76" s="1">
        <v>169212</v>
      </c>
      <c r="I76" s="1">
        <f>1.34*C5*12</f>
        <v>64720.39200000001</v>
      </c>
      <c r="J76" s="30">
        <f>I76/C5/12</f>
        <v>1.34</v>
      </c>
      <c r="K76" s="1">
        <f>J76*C5*3</f>
        <v>16180.098000000002</v>
      </c>
      <c r="L76" s="7">
        <f>J76*C5*6</f>
        <v>32360.196000000004</v>
      </c>
      <c r="M76" s="7">
        <f>J76*C5*9</f>
        <v>48540.29400000001</v>
      </c>
      <c r="N76" s="7">
        <f>J76*C5*12</f>
        <v>64720.39200000001</v>
      </c>
    </row>
    <row r="77" spans="2:14" ht="12.75">
      <c r="B77" s="1" t="s">
        <v>116</v>
      </c>
      <c r="C77" s="3" t="s">
        <v>485</v>
      </c>
      <c r="D77" s="1"/>
      <c r="E77" s="1"/>
      <c r="F77" s="1"/>
      <c r="G77" s="1"/>
      <c r="H77" s="1"/>
      <c r="I77" s="1"/>
      <c r="J77" s="1"/>
      <c r="K77" s="1"/>
      <c r="L77" s="7"/>
      <c r="M77" s="7"/>
      <c r="N77" s="7"/>
    </row>
    <row r="78" spans="2:14" ht="12.75">
      <c r="B78" s="1"/>
      <c r="C78" s="3"/>
      <c r="D78" s="1"/>
      <c r="E78" s="1"/>
      <c r="F78" s="1"/>
      <c r="G78" s="1"/>
      <c r="H78" s="1"/>
      <c r="I78" s="1"/>
      <c r="J78" s="1"/>
      <c r="K78" s="1"/>
      <c r="L78" s="7"/>
      <c r="M78" s="7"/>
      <c r="N78" s="7"/>
    </row>
    <row r="79" spans="2:14" ht="12.75">
      <c r="B79" s="2" t="s">
        <v>117</v>
      </c>
      <c r="C79" s="4"/>
      <c r="D79" s="2"/>
      <c r="E79" s="2"/>
      <c r="F79" s="2">
        <v>19547580.6</v>
      </c>
      <c r="G79" s="2">
        <v>11502035</v>
      </c>
      <c r="H79" s="2">
        <v>8045545.6</v>
      </c>
      <c r="I79" s="2">
        <f>I32+I41+I42+I49+I58+I66+I73+I74</f>
        <v>803410.1783186375</v>
      </c>
      <c r="J79" s="31">
        <f>J32+J41+J42+J49+J58+J66+J73+J74</f>
        <v>16.634164375070135</v>
      </c>
      <c r="K79" s="43">
        <f>J79*C5*3</f>
        <v>200852.54457965936</v>
      </c>
      <c r="L79" s="6">
        <f>L32+L41+L42+L49+L58+L66+L73+L74</f>
        <v>401705.08915931877</v>
      </c>
      <c r="M79" s="6">
        <f>M32+M41+M42+M49+M58+M66+M73+M74</f>
        <v>602557.6337389782</v>
      </c>
      <c r="N79" s="6">
        <f>N32+N41+N42+N49+N58+N66+N73+N74</f>
        <v>803410.1783186375</v>
      </c>
    </row>
    <row r="80" spans="2:14" ht="12.75">
      <c r="B80" s="1"/>
      <c r="C80" s="3" t="s">
        <v>118</v>
      </c>
      <c r="D80" s="1"/>
      <c r="E80" s="1"/>
      <c r="F80" s="1">
        <v>1724360</v>
      </c>
      <c r="G80" s="1">
        <v>1204102.5</v>
      </c>
      <c r="H80" s="1">
        <v>520257.5</v>
      </c>
      <c r="I80" s="1">
        <f>H80/H79*I79</f>
        <v>51951.74965469198</v>
      </c>
      <c r="J80" s="30">
        <f>I80/C5/12</f>
        <v>1.0756323066968947</v>
      </c>
      <c r="K80" s="42">
        <f>J80*C5*3</f>
        <v>12987.937413672995</v>
      </c>
      <c r="L80" s="7">
        <f>J80*C5*6</f>
        <v>25975.87482734599</v>
      </c>
      <c r="M80" s="7">
        <f>J80*C5*9</f>
        <v>38963.81224101898</v>
      </c>
      <c r="N80" s="7">
        <f>J80*C5*12</f>
        <v>51951.74965469198</v>
      </c>
    </row>
    <row r="81" spans="2:14" ht="25.5">
      <c r="B81" s="1"/>
      <c r="C81" s="3" t="s">
        <v>119</v>
      </c>
      <c r="D81" s="1"/>
      <c r="E81" s="1"/>
      <c r="F81" s="1">
        <v>5396925.11</v>
      </c>
      <c r="G81" s="1">
        <v>3223686.7</v>
      </c>
      <c r="H81" s="1">
        <v>2173238.4</v>
      </c>
      <c r="I81" s="1">
        <f>H81/(H79+H80)*(I79+I80)</f>
        <v>217014.72308763134</v>
      </c>
      <c r="J81" s="30">
        <f>I81/C5/12</f>
        <v>4.493170080574079</v>
      </c>
      <c r="K81" s="42">
        <f>C5*3</f>
        <v>12074.7</v>
      </c>
      <c r="L81" s="7">
        <f>J81*C5*6</f>
        <v>108507.36154381567</v>
      </c>
      <c r="M81" s="7">
        <f>J81*C5*9</f>
        <v>162761.0423157235</v>
      </c>
      <c r="N81" s="7">
        <f>J81*C5*12</f>
        <v>217014.72308763134</v>
      </c>
    </row>
    <row r="82" spans="2:14" ht="12.75">
      <c r="B82" s="2" t="s">
        <v>590</v>
      </c>
      <c r="C82" s="4"/>
      <c r="D82" s="2"/>
      <c r="E82" s="2"/>
      <c r="F82" s="2">
        <v>26668865.67</v>
      </c>
      <c r="G82" s="2">
        <v>15929824.3</v>
      </c>
      <c r="H82" s="2">
        <v>10739041.4</v>
      </c>
      <c r="I82" s="2">
        <f>I79+I80+I81</f>
        <v>1072376.651060961</v>
      </c>
      <c r="J82" s="31">
        <f>J79+J80+J81</f>
        <v>22.20296676234111</v>
      </c>
      <c r="K82" s="43">
        <f>J82*C5*3</f>
        <v>268094.1627652402</v>
      </c>
      <c r="L82" s="6">
        <f>SUM(L79:L81)</f>
        <v>536188.3255304805</v>
      </c>
      <c r="M82" s="6">
        <f>SUM(M79:M81)</f>
        <v>804282.4882957207</v>
      </c>
      <c r="N82" s="6">
        <f>SUM(N79:N81)</f>
        <v>1072376.651060961</v>
      </c>
    </row>
    <row r="83" spans="2:14" ht="12.75">
      <c r="B83" s="1" t="s">
        <v>120</v>
      </c>
      <c r="C83" s="3"/>
      <c r="D83" s="1"/>
      <c r="E83" s="1"/>
      <c r="F83" s="1">
        <v>1333443.28</v>
      </c>
      <c r="G83" s="1">
        <v>796491.2</v>
      </c>
      <c r="H83" s="1">
        <v>536952.07</v>
      </c>
      <c r="I83" s="1"/>
      <c r="J83" s="30"/>
      <c r="K83" s="42"/>
      <c r="L83" s="7"/>
      <c r="M83" s="7"/>
      <c r="N83" s="7"/>
    </row>
    <row r="84" spans="2:14" ht="12.75">
      <c r="B84" s="1"/>
      <c r="C84" s="4" t="s">
        <v>121</v>
      </c>
      <c r="D84" s="2"/>
      <c r="E84" s="2"/>
      <c r="F84" s="2">
        <v>28002308.95</v>
      </c>
      <c r="G84" s="2">
        <v>16726315.5</v>
      </c>
      <c r="H84" s="2">
        <v>11275993.5</v>
      </c>
      <c r="I84" s="2">
        <f>I82+I83</f>
        <v>1072376.651060961</v>
      </c>
      <c r="J84" s="31">
        <f>J82+J83</f>
        <v>22.20296676234111</v>
      </c>
      <c r="K84" s="2">
        <f>J84*C5*3</f>
        <v>268094.1627652402</v>
      </c>
      <c r="L84" s="6">
        <f>L82+L83</f>
        <v>536188.3255304805</v>
      </c>
      <c r="M84" s="6">
        <f>M82+M83</f>
        <v>804282.4882957207</v>
      </c>
      <c r="N84" s="6">
        <f>N82+N83</f>
        <v>1072376.651060961</v>
      </c>
    </row>
    <row r="85" spans="2:14" ht="12.75">
      <c r="B85" s="1"/>
      <c r="C85" s="4" t="s">
        <v>193</v>
      </c>
      <c r="D85" s="2"/>
      <c r="E85" s="2"/>
      <c r="F85" s="2"/>
      <c r="G85" s="2"/>
      <c r="H85" s="2"/>
      <c r="I85" s="2"/>
      <c r="J85" s="2"/>
      <c r="K85" s="2"/>
      <c r="L85" s="6">
        <v>9184.92</v>
      </c>
      <c r="M85" s="6">
        <v>9184.92</v>
      </c>
      <c r="N85" s="2">
        <v>9184.92</v>
      </c>
    </row>
    <row r="86" spans="2:14" ht="12.75">
      <c r="B86" s="1"/>
      <c r="C86" s="1" t="s">
        <v>514</v>
      </c>
      <c r="D86" s="1"/>
      <c r="E86" s="1"/>
      <c r="F86" s="1"/>
      <c r="G86" s="1"/>
      <c r="H86" s="1"/>
      <c r="I86" s="1"/>
      <c r="J86" s="1">
        <v>21.1</v>
      </c>
      <c r="K86" s="1"/>
      <c r="L86" s="7"/>
      <c r="M86" s="7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>
        <v>2.79</v>
      </c>
      <c r="K87" s="1"/>
      <c r="L87" s="1"/>
      <c r="M87" s="7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2" t="s">
        <v>231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 t="s">
        <v>219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220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2" t="s">
        <v>221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232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 t="s">
        <v>219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220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2" t="s">
        <v>221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233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 t="s">
        <v>219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220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</sheetData>
  <mergeCells count="16">
    <mergeCell ref="B13:B17"/>
    <mergeCell ref="C13:C17"/>
    <mergeCell ref="D13:D17"/>
    <mergeCell ref="E13:E17"/>
    <mergeCell ref="F13:F17"/>
    <mergeCell ref="G13:H13"/>
    <mergeCell ref="I13:J13"/>
    <mergeCell ref="G14:G17"/>
    <mergeCell ref="H14:H17"/>
    <mergeCell ref="I14:I17"/>
    <mergeCell ref="J14:J17"/>
    <mergeCell ref="K13:N13"/>
    <mergeCell ref="K14:K17"/>
    <mergeCell ref="L14:L17"/>
    <mergeCell ref="M14:M17"/>
    <mergeCell ref="N14:N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B4:P100"/>
  <sheetViews>
    <sheetView workbookViewId="0" topLeftCell="A4">
      <pane xSplit="1" ySplit="14" topLeftCell="B60" activePane="bottomRight" state="frozen"/>
      <selection pane="topLeft" activeCell="A4" sqref="A4"/>
      <selection pane="topRight" activeCell="B4" sqref="B4"/>
      <selection pane="bottomLeft" activeCell="A18" sqref="A18"/>
      <selection pane="bottomRight" activeCell="Q60" sqref="Q60:Q61"/>
    </sheetView>
  </sheetViews>
  <sheetFormatPr defaultColWidth="9.140625" defaultRowHeight="12.75"/>
  <cols>
    <col min="3" max="3" width="36.421875" style="0" customWidth="1"/>
    <col min="4" max="4" width="16.28125" style="0" customWidth="1"/>
    <col min="5" max="5" width="16.57421875" style="0" hidden="1" customWidth="1"/>
    <col min="6" max="6" width="13.28125" style="0" hidden="1" customWidth="1"/>
    <col min="7" max="7" width="15.421875" style="0" hidden="1" customWidth="1"/>
    <col min="8" max="8" width="15.00390625" style="0" hidden="1" customWidth="1"/>
    <col min="9" max="9" width="13.8515625" style="0" hidden="1" customWidth="1"/>
    <col min="10" max="10" width="12.28125" style="0" customWidth="1"/>
    <col min="11" max="11" width="14.421875" style="0" hidden="1" customWidth="1"/>
    <col min="12" max="12" width="13.140625" style="0" hidden="1" customWidth="1"/>
    <col min="13" max="13" width="10.57421875" style="0" customWidth="1"/>
    <col min="14" max="14" width="12.57421875" style="0" customWidth="1"/>
    <col min="15" max="15" width="12.140625" style="0" customWidth="1"/>
    <col min="16" max="16" width="11.8515625" style="0" customWidth="1"/>
    <col min="17" max="17" width="10.7109375" style="0" customWidth="1"/>
    <col min="18" max="18" width="13.421875" style="0" customWidth="1"/>
  </cols>
  <sheetData>
    <row r="4" spans="2:3" ht="12.75">
      <c r="B4" s="5" t="s">
        <v>487</v>
      </c>
      <c r="C4" s="5" t="s">
        <v>501</v>
      </c>
    </row>
    <row r="5" spans="2:3" ht="12.75">
      <c r="B5" t="s">
        <v>488</v>
      </c>
      <c r="C5">
        <v>4030</v>
      </c>
    </row>
    <row r="6" spans="2:3" ht="12.75">
      <c r="B6" t="s">
        <v>489</v>
      </c>
      <c r="C6">
        <v>2030</v>
      </c>
    </row>
    <row r="7" spans="2:3" ht="12.75">
      <c r="B7" t="s">
        <v>490</v>
      </c>
      <c r="C7">
        <v>550</v>
      </c>
    </row>
    <row r="8" spans="2:3" ht="12.75">
      <c r="B8" t="s">
        <v>491</v>
      </c>
      <c r="C8">
        <v>752.4</v>
      </c>
    </row>
    <row r="9" spans="2:3" ht="12.75">
      <c r="B9" t="s">
        <v>492</v>
      </c>
      <c r="C9">
        <v>2</v>
      </c>
    </row>
    <row r="10" spans="2:3" ht="12.75">
      <c r="B10" t="s">
        <v>493</v>
      </c>
      <c r="C10">
        <v>72</v>
      </c>
    </row>
    <row r="11" spans="2:3" ht="12.75">
      <c r="B11" t="s">
        <v>484</v>
      </c>
      <c r="C11">
        <v>2</v>
      </c>
    </row>
    <row r="13" spans="2:14" ht="12.75">
      <c r="B13" s="74" t="s">
        <v>40</v>
      </c>
      <c r="C13" s="74" t="s">
        <v>22</v>
      </c>
      <c r="D13" s="74" t="s">
        <v>41</v>
      </c>
      <c r="E13" s="74" t="s">
        <v>42</v>
      </c>
      <c r="F13" s="74" t="s">
        <v>43</v>
      </c>
      <c r="G13" s="74" t="s">
        <v>44</v>
      </c>
      <c r="H13" s="74"/>
      <c r="I13" s="79" t="s">
        <v>123</v>
      </c>
      <c r="J13" s="79"/>
      <c r="K13" s="74" t="s">
        <v>131</v>
      </c>
      <c r="L13" s="74"/>
      <c r="M13" s="74"/>
      <c r="N13" s="74"/>
    </row>
    <row r="14" spans="2:14" ht="12.75">
      <c r="B14" s="74"/>
      <c r="C14" s="74"/>
      <c r="D14" s="74"/>
      <c r="E14" s="74"/>
      <c r="F14" s="74"/>
      <c r="G14" s="74" t="s">
        <v>122</v>
      </c>
      <c r="H14" s="74" t="s">
        <v>45</v>
      </c>
      <c r="I14" s="74" t="s">
        <v>124</v>
      </c>
      <c r="J14" s="74" t="s">
        <v>125</v>
      </c>
      <c r="K14" s="74" t="s">
        <v>132</v>
      </c>
      <c r="L14" s="81" t="s">
        <v>172</v>
      </c>
      <c r="M14" s="81" t="s">
        <v>222</v>
      </c>
      <c r="N14" s="81" t="s">
        <v>305</v>
      </c>
    </row>
    <row r="15" spans="2:14" ht="12.7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81"/>
      <c r="M15" s="81"/>
      <c r="N15" s="81"/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4" t="s">
        <v>46</v>
      </c>
      <c r="D21" s="2"/>
      <c r="E21" s="2">
        <v>141634.46</v>
      </c>
      <c r="F21" s="2"/>
      <c r="G21" s="2">
        <v>98901.86</v>
      </c>
      <c r="H21" s="2">
        <v>42732.6</v>
      </c>
      <c r="I21" s="1"/>
      <c r="J21" s="1"/>
      <c r="K21" s="1"/>
      <c r="L21" s="1"/>
      <c r="M21" s="1"/>
      <c r="N21" s="1"/>
    </row>
    <row r="22" spans="2:14" ht="12.75">
      <c r="B22" s="1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 t="s">
        <v>47</v>
      </c>
      <c r="C23" s="4" t="s">
        <v>23</v>
      </c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</row>
    <row r="24" spans="2:14" ht="25.5">
      <c r="B24" s="1" t="s">
        <v>48</v>
      </c>
      <c r="C24" s="4" t="s">
        <v>24</v>
      </c>
      <c r="D24" s="2"/>
      <c r="E24" s="2">
        <v>17784</v>
      </c>
      <c r="F24" s="2"/>
      <c r="G24" s="2">
        <v>10809.7</v>
      </c>
      <c r="H24" s="2">
        <v>6974.3</v>
      </c>
      <c r="I24" s="1"/>
      <c r="J24" s="1"/>
      <c r="K24" s="1"/>
      <c r="L24" s="1"/>
      <c r="M24" s="1"/>
      <c r="N24" s="1"/>
    </row>
    <row r="25" spans="2:14" ht="25.5">
      <c r="B25" s="1" t="s">
        <v>49</v>
      </c>
      <c r="C25" s="3" t="s">
        <v>25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6" ht="25.5">
      <c r="B26" s="1" t="s">
        <v>50</v>
      </c>
      <c r="C26" s="3" t="s">
        <v>26</v>
      </c>
      <c r="D26" s="1" t="s">
        <v>51</v>
      </c>
      <c r="E26" s="1"/>
      <c r="F26" s="1">
        <v>2343012.48</v>
      </c>
      <c r="G26" s="1">
        <v>1045514.2</v>
      </c>
      <c r="H26" s="1">
        <v>1297498.3</v>
      </c>
      <c r="I26" s="1">
        <f>H26/H24*C8</f>
        <v>139976.44507979296</v>
      </c>
      <c r="J26" s="30">
        <f>I26/C5/12</f>
        <v>2.8944674334117653</v>
      </c>
      <c r="K26" s="42">
        <f>J26*C5*3</f>
        <v>34994.11126994825</v>
      </c>
      <c r="L26" s="7">
        <f>J26*C5*6</f>
        <v>69988.2225398965</v>
      </c>
      <c r="M26" s="7">
        <f>J26*C5*9</f>
        <v>104982.33380984473</v>
      </c>
      <c r="N26" s="7">
        <f>J26*C5*12</f>
        <v>139976.445079793</v>
      </c>
      <c r="P26" t="s">
        <v>143</v>
      </c>
    </row>
    <row r="27" spans="2:14" ht="25.5">
      <c r="B27" s="1" t="s">
        <v>52</v>
      </c>
      <c r="C27" s="3" t="s">
        <v>27</v>
      </c>
      <c r="D27" s="1" t="s">
        <v>53</v>
      </c>
      <c r="E27" s="1"/>
      <c r="F27" s="1">
        <v>796624.2</v>
      </c>
      <c r="G27" s="1">
        <v>355474.8</v>
      </c>
      <c r="H27" s="1">
        <v>441149.4</v>
      </c>
      <c r="I27" s="1">
        <f>H27/H24*C8</f>
        <v>47591.98895373012</v>
      </c>
      <c r="J27" s="30">
        <f>I27/C5/12</f>
        <v>0.9841188782822606</v>
      </c>
      <c r="K27" s="42">
        <f>J27*C5*3</f>
        <v>11897.99723843253</v>
      </c>
      <c r="L27" s="7">
        <f>J27*C5*6</f>
        <v>23795.99447686506</v>
      </c>
      <c r="M27" s="7">
        <f>J27*C5*9</f>
        <v>35693.99171529759</v>
      </c>
      <c r="N27" s="7">
        <f>J27*C5*12</f>
        <v>47591.98895373012</v>
      </c>
    </row>
    <row r="28" spans="2:14" ht="12.75">
      <c r="B28" s="1" t="s">
        <v>54</v>
      </c>
      <c r="C28" s="3" t="s">
        <v>28</v>
      </c>
      <c r="D28" s="1" t="s">
        <v>536</v>
      </c>
      <c r="E28" s="1"/>
      <c r="F28" s="1">
        <v>116909.87</v>
      </c>
      <c r="G28" s="1">
        <v>71061.7</v>
      </c>
      <c r="H28" s="1">
        <v>45848.2</v>
      </c>
      <c r="I28" s="1">
        <f>H28/H24*C8</f>
        <v>4946.186094661829</v>
      </c>
      <c r="J28" s="30">
        <f>I28/C5/12</f>
        <v>0.10227845522460359</v>
      </c>
      <c r="K28" s="42">
        <f>J28*C5*3</f>
        <v>1236.5465236654575</v>
      </c>
      <c r="L28" s="7">
        <f>J28*C5*6</f>
        <v>2473.093047330915</v>
      </c>
      <c r="M28" s="7">
        <f>J28*C5*9</f>
        <v>3709.639570996372</v>
      </c>
      <c r="N28" s="7">
        <f>J28*C5*12</f>
        <v>4946.18609466183</v>
      </c>
    </row>
    <row r="29" spans="2:14" ht="12.75">
      <c r="B29" s="1" t="s">
        <v>55</v>
      </c>
      <c r="C29" s="3" t="s">
        <v>29</v>
      </c>
      <c r="D29" s="1"/>
      <c r="E29" s="1">
        <v>15</v>
      </c>
      <c r="F29" s="1"/>
      <c r="G29" s="1"/>
      <c r="H29" s="1"/>
      <c r="I29" s="1"/>
      <c r="J29" s="1"/>
      <c r="K29" s="42"/>
      <c r="L29" s="7"/>
      <c r="M29" s="7"/>
      <c r="N29" s="7"/>
    </row>
    <row r="30" spans="2:14" ht="25.5">
      <c r="B30" s="1" t="s">
        <v>56</v>
      </c>
      <c r="C30" s="3" t="s">
        <v>57</v>
      </c>
      <c r="D30" s="3" t="s">
        <v>58</v>
      </c>
      <c r="E30" s="1"/>
      <c r="F30" s="1">
        <v>674</v>
      </c>
      <c r="G30" s="1"/>
      <c r="H30" s="1">
        <v>674</v>
      </c>
      <c r="I30" s="1">
        <f>H30/H24*C8</f>
        <v>72.71232955278666</v>
      </c>
      <c r="J30" s="30">
        <f>I30/C5/12</f>
        <v>0.0015035634729691201</v>
      </c>
      <c r="K30" s="42">
        <f>J30*C5*3</f>
        <v>18.17808238819666</v>
      </c>
      <c r="L30" s="7">
        <f>J30*C5*6</f>
        <v>36.35616477639332</v>
      </c>
      <c r="M30" s="7">
        <f>J30*C5*9</f>
        <v>54.534247164589985</v>
      </c>
      <c r="N30" s="7">
        <f>J30*C5*12</f>
        <v>72.71232955278664</v>
      </c>
    </row>
    <row r="31" spans="2:14" ht="38.25">
      <c r="B31" s="1" t="s">
        <v>59</v>
      </c>
      <c r="C31" s="3" t="s">
        <v>30</v>
      </c>
      <c r="D31" s="1"/>
      <c r="E31" s="1"/>
      <c r="F31" s="1"/>
      <c r="G31" s="1"/>
      <c r="H31" s="1"/>
      <c r="I31" s="1"/>
      <c r="J31" s="1"/>
      <c r="K31" s="42"/>
      <c r="L31" s="7"/>
      <c r="M31" s="7"/>
      <c r="N31" s="7"/>
    </row>
    <row r="32" spans="2:14" ht="12.75">
      <c r="B32" s="1"/>
      <c r="C32" s="4" t="s">
        <v>60</v>
      </c>
      <c r="D32" s="2"/>
      <c r="E32" s="2"/>
      <c r="F32" s="2">
        <v>3257220.6</v>
      </c>
      <c r="G32" s="2">
        <v>1472050.7</v>
      </c>
      <c r="H32" s="2">
        <v>1785169.9</v>
      </c>
      <c r="I32" s="2">
        <f aca="true" t="shared" si="0" ref="I32:N32">SUM(I26:I31)</f>
        <v>192587.3324577377</v>
      </c>
      <c r="J32" s="31">
        <f t="shared" si="0"/>
        <v>3.9823683303915987</v>
      </c>
      <c r="K32" s="43">
        <f t="shared" si="0"/>
        <v>48146.833114434434</v>
      </c>
      <c r="L32" s="6">
        <f t="shared" si="0"/>
        <v>96293.66622886887</v>
      </c>
      <c r="M32" s="6">
        <f t="shared" si="0"/>
        <v>144440.49934330327</v>
      </c>
      <c r="N32" s="6">
        <f t="shared" si="0"/>
        <v>192587.33245773774</v>
      </c>
    </row>
    <row r="33" spans="2:14" ht="38.25">
      <c r="B33" s="1" t="s">
        <v>61</v>
      </c>
      <c r="C33" s="4" t="s">
        <v>31</v>
      </c>
      <c r="D33" s="2"/>
      <c r="E33" s="2">
        <v>111234.9</v>
      </c>
      <c r="F33" s="2"/>
      <c r="G33" s="2">
        <v>78376.2</v>
      </c>
      <c r="H33" s="2">
        <v>32858.7</v>
      </c>
      <c r="I33" s="1"/>
      <c r="J33" s="1"/>
      <c r="K33" s="1"/>
      <c r="L33" s="7"/>
      <c r="M33" s="7"/>
      <c r="N33" s="7"/>
    </row>
    <row r="34" spans="2:14" ht="25.5">
      <c r="B34" s="1" t="s">
        <v>62</v>
      </c>
      <c r="C34" s="3" t="s">
        <v>32</v>
      </c>
      <c r="D34" s="1" t="s">
        <v>51</v>
      </c>
      <c r="E34" s="1"/>
      <c r="F34" s="1">
        <v>815719.552</v>
      </c>
      <c r="G34" s="1">
        <v>574756.7</v>
      </c>
      <c r="H34" s="1">
        <v>240962.9</v>
      </c>
      <c r="I34" s="1">
        <f>H34/H33*(C7+C6)</f>
        <v>18919.929333783748</v>
      </c>
      <c r="J34" s="30">
        <f>I34/C5/12</f>
        <v>0.39123096223705023</v>
      </c>
      <c r="K34" s="42">
        <f>J34*C5*3</f>
        <v>4729.982333445938</v>
      </c>
      <c r="L34" s="7">
        <f>J34*C5*6</f>
        <v>9459.964666891876</v>
      </c>
      <c r="M34" s="7">
        <f>J34*C5*9</f>
        <v>14189.947000337812</v>
      </c>
      <c r="N34" s="7">
        <f>J34*C5*12</f>
        <v>18919.92933378375</v>
      </c>
    </row>
    <row r="35" spans="2:14" ht="12.75">
      <c r="B35" s="1" t="s">
        <v>63</v>
      </c>
      <c r="C35" s="3" t="s">
        <v>311</v>
      </c>
      <c r="D35" s="1" t="s">
        <v>53</v>
      </c>
      <c r="E35" s="1"/>
      <c r="F35" s="1">
        <v>277344.6</v>
      </c>
      <c r="G35" s="1">
        <v>195417.3</v>
      </c>
      <c r="H35" s="1">
        <v>81927.4</v>
      </c>
      <c r="I35" s="1">
        <f>H35/H33*(C7+C6)</f>
        <v>6432.777072738727</v>
      </c>
      <c r="J35" s="30">
        <f>I35/C5/12</f>
        <v>0.1330185498912061</v>
      </c>
      <c r="K35" s="42">
        <f>J35*C5*3</f>
        <v>1608.1942681846817</v>
      </c>
      <c r="L35" s="7">
        <f>J35*C5*6</f>
        <v>3216.3885363693635</v>
      </c>
      <c r="M35" s="7">
        <f>J35*C5*9</f>
        <v>4824.582804554046</v>
      </c>
      <c r="N35" s="7">
        <f>J35*C5*12</f>
        <v>6432.777072738727</v>
      </c>
    </row>
    <row r="36" spans="2:14" ht="12.75">
      <c r="B36" s="1" t="s">
        <v>65</v>
      </c>
      <c r="C36" s="3" t="s">
        <v>66</v>
      </c>
      <c r="D36" s="1" t="s">
        <v>536</v>
      </c>
      <c r="E36" s="1"/>
      <c r="F36" s="1">
        <v>115582.34</v>
      </c>
      <c r="G36" s="1">
        <v>81439.4</v>
      </c>
      <c r="H36" s="1">
        <v>34142.9</v>
      </c>
      <c r="I36" s="1"/>
      <c r="J36" s="30"/>
      <c r="K36" s="42">
        <f>J36*C5*3</f>
        <v>0</v>
      </c>
      <c r="L36" s="7">
        <f>J36*C5*6</f>
        <v>0</v>
      </c>
      <c r="M36" s="7">
        <f>J36*C5*9</f>
        <v>0</v>
      </c>
      <c r="N36" s="7">
        <f>J36*C5*12</f>
        <v>0</v>
      </c>
    </row>
    <row r="37" spans="2:14" ht="25.5">
      <c r="B37" s="1" t="s">
        <v>67</v>
      </c>
      <c r="C37" s="3" t="s">
        <v>34</v>
      </c>
      <c r="D37" s="1" t="s">
        <v>68</v>
      </c>
      <c r="E37" s="1"/>
      <c r="F37" s="1">
        <v>55220.9</v>
      </c>
      <c r="G37" s="1">
        <v>38908.7</v>
      </c>
      <c r="H37" s="1">
        <v>16312.2</v>
      </c>
      <c r="I37" s="1">
        <f>H37/H33*(C7+C6)</f>
        <v>1280.8016141843714</v>
      </c>
      <c r="J37" s="30">
        <f>I37/C5/12</f>
        <v>0.026484731476103626</v>
      </c>
      <c r="K37" s="42">
        <f>J37*C5*3</f>
        <v>320.20040354609284</v>
      </c>
      <c r="L37" s="7">
        <f>J37*C5*6</f>
        <v>640.4008070921857</v>
      </c>
      <c r="M37" s="7">
        <f>J37*C5*9</f>
        <v>960.6012106382785</v>
      </c>
      <c r="N37" s="7">
        <f>J37*C5*12</f>
        <v>1280.8016141843714</v>
      </c>
    </row>
    <row r="38" spans="2:14" ht="25.5">
      <c r="B38" s="1" t="s">
        <v>69</v>
      </c>
      <c r="C38" s="3" t="s">
        <v>35</v>
      </c>
      <c r="D38" s="1"/>
      <c r="E38" s="1"/>
      <c r="F38" s="1"/>
      <c r="G38" s="1"/>
      <c r="H38" s="1"/>
      <c r="I38" s="1"/>
      <c r="J38" s="30"/>
      <c r="K38" s="42"/>
      <c r="L38" s="7"/>
      <c r="M38" s="7"/>
      <c r="N38" s="7"/>
    </row>
    <row r="39" spans="2:14" ht="12.75">
      <c r="B39" s="1" t="s">
        <v>70</v>
      </c>
      <c r="C39" s="3" t="s">
        <v>36</v>
      </c>
      <c r="D39" s="1" t="s">
        <v>71</v>
      </c>
      <c r="E39" s="1"/>
      <c r="F39" s="1"/>
      <c r="G39" s="1"/>
      <c r="H39" s="1"/>
      <c r="I39" s="1"/>
      <c r="J39" s="30"/>
      <c r="K39" s="42"/>
      <c r="L39" s="7"/>
      <c r="M39" s="7"/>
      <c r="N39" s="7"/>
    </row>
    <row r="40" spans="2:14" ht="12.75">
      <c r="B40" s="1" t="s">
        <v>72</v>
      </c>
      <c r="C40" s="3" t="s">
        <v>73</v>
      </c>
      <c r="D40" s="1"/>
      <c r="E40" s="1"/>
      <c r="F40" s="1">
        <v>30500</v>
      </c>
      <c r="G40" s="1">
        <v>21297.8</v>
      </c>
      <c r="H40" s="1">
        <v>9202.2</v>
      </c>
      <c r="I40" s="1">
        <f>H40/H21*C5</f>
        <v>867.8354698754581</v>
      </c>
      <c r="J40" s="30">
        <f>I40/C5/12</f>
        <v>0.017945315754248514</v>
      </c>
      <c r="K40" s="42">
        <f>J40*C5*3</f>
        <v>216.95886746886453</v>
      </c>
      <c r="L40" s="7">
        <f>J40*C5*6</f>
        <v>433.91773493772905</v>
      </c>
      <c r="M40" s="7">
        <f>J40*C5*9</f>
        <v>650.8766024065935</v>
      </c>
      <c r="N40" s="7">
        <f>J40*C5*12</f>
        <v>867.8354698754581</v>
      </c>
    </row>
    <row r="41" spans="2:14" ht="12.75">
      <c r="B41" s="1"/>
      <c r="C41" s="4" t="s">
        <v>60</v>
      </c>
      <c r="D41" s="2"/>
      <c r="E41" s="2"/>
      <c r="F41" s="2">
        <v>1294367.4</v>
      </c>
      <c r="G41" s="2">
        <v>911819.85</v>
      </c>
      <c r="H41" s="2">
        <v>382547.6</v>
      </c>
      <c r="I41" s="2">
        <f aca="true" t="shared" si="1" ref="I41:N41">SUM(I34:I40)</f>
        <v>27501.34349058231</v>
      </c>
      <c r="J41" s="31">
        <f t="shared" si="1"/>
        <v>0.5686795593586085</v>
      </c>
      <c r="K41" s="43">
        <f t="shared" si="1"/>
        <v>6875.335872645577</v>
      </c>
      <c r="L41" s="6">
        <f t="shared" si="1"/>
        <v>13750.671745291154</v>
      </c>
      <c r="M41" s="6">
        <f t="shared" si="1"/>
        <v>20626.007617936724</v>
      </c>
      <c r="N41" s="6">
        <f t="shared" si="1"/>
        <v>27501.34349058231</v>
      </c>
    </row>
    <row r="42" spans="2:14" ht="12.75">
      <c r="B42" s="1" t="s">
        <v>74</v>
      </c>
      <c r="C42" s="4" t="s">
        <v>37</v>
      </c>
      <c r="D42" s="2"/>
      <c r="E42" s="2"/>
      <c r="F42" s="2">
        <v>5004925.7</v>
      </c>
      <c r="G42" s="2">
        <v>3548598.7</v>
      </c>
      <c r="H42" s="2">
        <v>1456327</v>
      </c>
      <c r="I42" s="2">
        <f>H42/H21*C5</f>
        <v>137342.3992455409</v>
      </c>
      <c r="J42" s="31">
        <f>I42/C5/12</f>
        <v>2.8399999843991086</v>
      </c>
      <c r="K42" s="43">
        <f>J42*C5*3</f>
        <v>34335.599811385226</v>
      </c>
      <c r="L42" s="6">
        <f>J42*C5*6</f>
        <v>68671.19962277045</v>
      </c>
      <c r="M42" s="6">
        <f>J42*C5*9</f>
        <v>103006.79943415566</v>
      </c>
      <c r="N42" s="6">
        <f>J42*C5*12</f>
        <v>137342.3992455409</v>
      </c>
    </row>
    <row r="43" spans="2:14" ht="38.25">
      <c r="B43" s="1" t="s">
        <v>75</v>
      </c>
      <c r="C43" s="4" t="s">
        <v>38</v>
      </c>
      <c r="D43" s="2"/>
      <c r="E43" s="2">
        <v>141634.46</v>
      </c>
      <c r="F43" s="2"/>
      <c r="G43" s="2">
        <v>98901.86</v>
      </c>
      <c r="H43" s="2">
        <v>42732.6</v>
      </c>
      <c r="I43" s="1"/>
      <c r="J43" s="1"/>
      <c r="K43" s="1"/>
      <c r="L43" s="7"/>
      <c r="M43" s="7"/>
      <c r="N43" s="7"/>
    </row>
    <row r="44" spans="2:14" ht="63.75">
      <c r="B44" s="1" t="s">
        <v>76</v>
      </c>
      <c r="C44" s="3" t="s">
        <v>278</v>
      </c>
      <c r="D44" s="1" t="s">
        <v>51</v>
      </c>
      <c r="E44" s="1"/>
      <c r="F44" s="1">
        <v>558138</v>
      </c>
      <c r="G44" s="1">
        <v>389741.9</v>
      </c>
      <c r="H44" s="1">
        <v>168396.1</v>
      </c>
      <c r="I44" s="1">
        <f>H44/H43*C5</f>
        <v>15880.996779975945</v>
      </c>
      <c r="J44" s="30">
        <f>I44/C5/12</f>
        <v>0.3283911658390394</v>
      </c>
      <c r="K44" s="42">
        <f>J44*C5*3</f>
        <v>3970.2491949939863</v>
      </c>
      <c r="L44" s="7">
        <f>J44*C5*6</f>
        <v>7940.498389987973</v>
      </c>
      <c r="M44" s="7">
        <f>J44*C5*9</f>
        <v>11910.747584981958</v>
      </c>
      <c r="N44" s="7">
        <f>J44*C5*12</f>
        <v>15880.996779975945</v>
      </c>
    </row>
    <row r="45" spans="2:14" ht="63.75">
      <c r="B45" s="1" t="s">
        <v>78</v>
      </c>
      <c r="C45" s="3" t="s">
        <v>475</v>
      </c>
      <c r="D45" s="1" t="s">
        <v>53</v>
      </c>
      <c r="E45" s="1"/>
      <c r="F45" s="1">
        <v>189767</v>
      </c>
      <c r="G45" s="1">
        <v>132512</v>
      </c>
      <c r="H45" s="1">
        <v>57255</v>
      </c>
      <c r="I45" s="1">
        <f>H45/H43*C5</f>
        <v>5399.56964940116</v>
      </c>
      <c r="J45" s="30">
        <f>I45/C5/12</f>
        <v>0.11165363212161207</v>
      </c>
      <c r="K45" s="42">
        <f>J45*C5*3</f>
        <v>1349.89241235029</v>
      </c>
      <c r="L45" s="7">
        <f>J45*C5*6</f>
        <v>2699.78482470058</v>
      </c>
      <c r="M45" s="7">
        <f>J45*C5*9</f>
        <v>4049.6772370508697</v>
      </c>
      <c r="N45" s="7">
        <f>J45*C5*12</f>
        <v>5399.56964940116</v>
      </c>
    </row>
    <row r="46" spans="2:14" ht="89.25">
      <c r="B46" s="1" t="s">
        <v>80</v>
      </c>
      <c r="C46" s="29" t="s">
        <v>129</v>
      </c>
      <c r="D46" s="1" t="s">
        <v>536</v>
      </c>
      <c r="E46" s="1"/>
      <c r="F46" s="1">
        <v>111512.16</v>
      </c>
      <c r="G46" s="1">
        <v>77867.8</v>
      </c>
      <c r="H46" s="1">
        <v>33644.4</v>
      </c>
      <c r="I46" s="1">
        <f>H46/H43*C5</f>
        <v>3172.915572654133</v>
      </c>
      <c r="J46" s="30">
        <f>I46/C5/12</f>
        <v>0.06561033028647918</v>
      </c>
      <c r="K46" s="42">
        <f>J46*C5*3</f>
        <v>793.2288931635334</v>
      </c>
      <c r="L46" s="7">
        <f>J46*C5*6</f>
        <v>1586.4577863270667</v>
      </c>
      <c r="M46" s="7">
        <f>J46*C5*9</f>
        <v>2379.6866794906</v>
      </c>
      <c r="N46" s="7">
        <f>J46*C5*12</f>
        <v>3172.9155726541335</v>
      </c>
    </row>
    <row r="47" spans="2:14" ht="12.75">
      <c r="B47" s="1"/>
      <c r="C47" s="4" t="s">
        <v>272</v>
      </c>
      <c r="D47" s="1"/>
      <c r="E47" s="1"/>
      <c r="F47" s="1"/>
      <c r="G47" s="1"/>
      <c r="H47" s="1"/>
      <c r="I47" s="1"/>
      <c r="J47" s="30"/>
      <c r="K47" s="42"/>
      <c r="L47" s="7"/>
      <c r="M47" s="7"/>
      <c r="N47" s="7"/>
    </row>
    <row r="48" spans="2:14" ht="12.75">
      <c r="B48" s="1"/>
      <c r="C48" s="4" t="s">
        <v>266</v>
      </c>
      <c r="D48" s="1" t="s">
        <v>71</v>
      </c>
      <c r="E48" s="1"/>
      <c r="F48" s="1"/>
      <c r="G48" s="1"/>
      <c r="H48" s="1"/>
      <c r="I48" s="1"/>
      <c r="J48" s="30"/>
      <c r="K48" s="42"/>
      <c r="L48" s="7"/>
      <c r="M48" s="7"/>
      <c r="N48" s="7"/>
    </row>
    <row r="49" spans="2:14" ht="12.75">
      <c r="B49" s="1"/>
      <c r="C49" s="4" t="s">
        <v>60</v>
      </c>
      <c r="D49" s="2"/>
      <c r="E49" s="2"/>
      <c r="F49" s="2">
        <v>859417.1</v>
      </c>
      <c r="G49" s="2">
        <v>600121.9</v>
      </c>
      <c r="H49" s="2">
        <v>259295.1</v>
      </c>
      <c r="I49" s="2">
        <f aca="true" t="shared" si="2" ref="I49:N49">SUM(I44:I48)</f>
        <v>24453.482002031236</v>
      </c>
      <c r="J49" s="31">
        <f t="shared" si="2"/>
        <v>0.5056551282471307</v>
      </c>
      <c r="K49" s="43">
        <f t="shared" si="2"/>
        <v>6113.370500507809</v>
      </c>
      <c r="L49" s="6">
        <f t="shared" si="2"/>
        <v>12226.741001015618</v>
      </c>
      <c r="M49" s="6">
        <f t="shared" si="2"/>
        <v>18340.111501523428</v>
      </c>
      <c r="N49" s="6">
        <f t="shared" si="2"/>
        <v>24453.482002031236</v>
      </c>
    </row>
    <row r="50" spans="2:14" ht="38.25">
      <c r="B50" s="1" t="s">
        <v>81</v>
      </c>
      <c r="C50" s="4" t="s">
        <v>39</v>
      </c>
      <c r="D50" s="2"/>
      <c r="E50" s="2">
        <v>141634.46</v>
      </c>
      <c r="F50" s="2"/>
      <c r="G50" s="2">
        <v>98901.86</v>
      </c>
      <c r="H50" s="2">
        <v>42732.6</v>
      </c>
      <c r="I50" s="1"/>
      <c r="J50" s="1"/>
      <c r="K50" s="1"/>
      <c r="L50" s="7"/>
      <c r="M50" s="7"/>
      <c r="N50" s="7"/>
    </row>
    <row r="51" spans="2:14" ht="25.5">
      <c r="B51" s="1" t="s">
        <v>82</v>
      </c>
      <c r="C51" s="3" t="s">
        <v>83</v>
      </c>
      <c r="D51" s="1" t="s">
        <v>51</v>
      </c>
      <c r="E51" s="1"/>
      <c r="F51" s="1">
        <v>667518.8</v>
      </c>
      <c r="G51" s="1">
        <v>466121.4</v>
      </c>
      <c r="H51" s="1">
        <v>201397.4</v>
      </c>
      <c r="I51" s="1">
        <f>H51/H50*C5</f>
        <v>18993.2632697285</v>
      </c>
      <c r="J51" s="30">
        <f>I51/C5/12</f>
        <v>0.3927473794402088</v>
      </c>
      <c r="K51" s="42">
        <f>J51*C5*3</f>
        <v>4748.315817432125</v>
      </c>
      <c r="L51" s="7">
        <f>J51*C5*6</f>
        <v>9496.63163486425</v>
      </c>
      <c r="M51" s="7">
        <f>J51*C5*9</f>
        <v>14244.947452296376</v>
      </c>
      <c r="N51" s="7">
        <f>J51*C5*12</f>
        <v>18993.2632697285</v>
      </c>
    </row>
    <row r="52" spans="2:14" ht="25.5">
      <c r="B52" s="1" t="s">
        <v>84</v>
      </c>
      <c r="C52" s="3" t="s">
        <v>427</v>
      </c>
      <c r="D52" s="1" t="s">
        <v>53</v>
      </c>
      <c r="E52" s="1"/>
      <c r="F52" s="1">
        <v>226956</v>
      </c>
      <c r="G52" s="1">
        <v>158481.3</v>
      </c>
      <c r="H52" s="1">
        <v>68475.1</v>
      </c>
      <c r="I52" s="1">
        <f>H52/H50*C5</f>
        <v>6457.70800278944</v>
      </c>
      <c r="J52" s="30">
        <f>I52/C5/12</f>
        <v>0.1335340778078875</v>
      </c>
      <c r="K52" s="42">
        <f>J52*C5*3</f>
        <v>1614.42700069736</v>
      </c>
      <c r="L52" s="7">
        <f>J52*C5*6</f>
        <v>3228.85400139472</v>
      </c>
      <c r="M52" s="7">
        <f>J52*C5*9</f>
        <v>4843.28100209208</v>
      </c>
      <c r="N52" s="7">
        <f>J52*C5*12</f>
        <v>6457.70800278944</v>
      </c>
    </row>
    <row r="53" spans="2:14" ht="76.5">
      <c r="B53" s="1" t="s">
        <v>86</v>
      </c>
      <c r="C53" s="3" t="s">
        <v>460</v>
      </c>
      <c r="D53" s="1" t="s">
        <v>536</v>
      </c>
      <c r="E53" s="1"/>
      <c r="F53" s="1">
        <v>446048.65</v>
      </c>
      <c r="G53" s="1">
        <v>311471.1</v>
      </c>
      <c r="H53" s="1">
        <v>134577.5</v>
      </c>
      <c r="I53" s="1">
        <f>H53/H50*C5</f>
        <v>12691.652859877471</v>
      </c>
      <c r="J53" s="30">
        <f>I53/C5/12</f>
        <v>0.2624411261347699</v>
      </c>
      <c r="K53" s="42">
        <f>J53*C5*3</f>
        <v>3172.913214969368</v>
      </c>
      <c r="L53" s="7">
        <f>J53*C5*6</f>
        <v>6345.826429938736</v>
      </c>
      <c r="M53" s="7">
        <f>J53*C5*9</f>
        <v>9518.739644908104</v>
      </c>
      <c r="N53" s="7">
        <f>J53*C5*12</f>
        <v>12691.652859877471</v>
      </c>
    </row>
    <row r="54" spans="2:14" ht="25.5">
      <c r="B54" s="1" t="s">
        <v>88</v>
      </c>
      <c r="C54" s="3" t="s">
        <v>130</v>
      </c>
      <c r="D54" s="1"/>
      <c r="E54" s="1"/>
      <c r="F54" s="1"/>
      <c r="G54" s="1"/>
      <c r="H54" s="1"/>
      <c r="I54" s="1"/>
      <c r="J54" s="30"/>
      <c r="K54" s="42"/>
      <c r="L54" s="7"/>
      <c r="M54" s="7"/>
      <c r="N54" s="7"/>
    </row>
    <row r="55" spans="2:14" ht="38.25">
      <c r="B55" s="1" t="s">
        <v>89</v>
      </c>
      <c r="C55" s="3" t="s">
        <v>90</v>
      </c>
      <c r="D55" s="1" t="s">
        <v>71</v>
      </c>
      <c r="E55" s="1"/>
      <c r="F55" s="1"/>
      <c r="G55" s="1"/>
      <c r="H55" s="1"/>
      <c r="I55" s="1"/>
      <c r="J55" s="30"/>
      <c r="K55" s="42"/>
      <c r="L55" s="7"/>
      <c r="M55" s="7"/>
      <c r="N55" s="7"/>
    </row>
    <row r="56" spans="2:14" ht="63.75">
      <c r="B56" s="1" t="s">
        <v>91</v>
      </c>
      <c r="C56" s="3" t="s">
        <v>92</v>
      </c>
      <c r="D56" s="1"/>
      <c r="E56" s="1"/>
      <c r="F56" s="1"/>
      <c r="G56" s="1"/>
      <c r="H56" s="1"/>
      <c r="I56" s="1"/>
      <c r="J56" s="30"/>
      <c r="K56" s="42"/>
      <c r="L56" s="7"/>
      <c r="M56" s="7"/>
      <c r="N56" s="7"/>
    </row>
    <row r="57" spans="2:14" ht="12.75">
      <c r="B57" s="1" t="s">
        <v>93</v>
      </c>
      <c r="C57" s="3"/>
      <c r="D57" s="1"/>
      <c r="E57" s="1"/>
      <c r="F57" s="1"/>
      <c r="G57" s="1"/>
      <c r="H57" s="1"/>
      <c r="I57" s="1"/>
      <c r="J57" s="30"/>
      <c r="K57" s="42"/>
      <c r="L57" s="7"/>
      <c r="M57" s="7"/>
      <c r="N57" s="7"/>
    </row>
    <row r="58" spans="2:14" ht="12.75">
      <c r="B58" s="1"/>
      <c r="C58" s="4" t="s">
        <v>60</v>
      </c>
      <c r="D58" s="2"/>
      <c r="E58" s="2"/>
      <c r="F58" s="2">
        <v>1340523.8</v>
      </c>
      <c r="G58" s="2">
        <v>936073.8</v>
      </c>
      <c r="H58" s="2">
        <v>404450.1</v>
      </c>
      <c r="I58" s="2">
        <f aca="true" t="shared" si="3" ref="I58:N58">SUM(I51:I57)</f>
        <v>38142.62413239542</v>
      </c>
      <c r="J58" s="31">
        <f t="shared" si="3"/>
        <v>0.7887225833828662</v>
      </c>
      <c r="K58" s="43">
        <f t="shared" si="3"/>
        <v>9535.656033098854</v>
      </c>
      <c r="L58" s="6">
        <f t="shared" si="3"/>
        <v>19071.31206619771</v>
      </c>
      <c r="M58" s="6">
        <f t="shared" si="3"/>
        <v>28606.96809929656</v>
      </c>
      <c r="N58" s="6">
        <f t="shared" si="3"/>
        <v>38142.62413239542</v>
      </c>
    </row>
    <row r="59" spans="2:14" ht="38.25">
      <c r="B59" s="1" t="s">
        <v>95</v>
      </c>
      <c r="C59" s="4" t="s">
        <v>481</v>
      </c>
      <c r="D59" s="2"/>
      <c r="E59" s="2">
        <v>141634.46</v>
      </c>
      <c r="F59" s="2"/>
      <c r="G59" s="2">
        <v>98901.86</v>
      </c>
      <c r="H59" s="2">
        <v>42732.6</v>
      </c>
      <c r="I59" s="1"/>
      <c r="J59" s="1"/>
      <c r="K59" s="1"/>
      <c r="L59" s="7"/>
      <c r="M59" s="7"/>
      <c r="N59" s="7"/>
    </row>
    <row r="60" spans="2:14" ht="89.25">
      <c r="B60" s="1" t="s">
        <v>96</v>
      </c>
      <c r="C60" s="4" t="s">
        <v>363</v>
      </c>
      <c r="D60" s="1" t="s">
        <v>51</v>
      </c>
      <c r="E60" s="1"/>
      <c r="F60" s="1">
        <v>3033160.58</v>
      </c>
      <c r="G60" s="1">
        <v>2118024.3</v>
      </c>
      <c r="H60" s="1">
        <v>915136.3</v>
      </c>
      <c r="I60" s="1">
        <f>H60/H59*C5</f>
        <v>86304.11650589948</v>
      </c>
      <c r="J60" s="30">
        <f>I60/C5/12</f>
        <v>1.784617793753091</v>
      </c>
      <c r="K60" s="42">
        <f>J60*C5*3</f>
        <v>21576.02912647487</v>
      </c>
      <c r="L60" s="7">
        <f>J60*C5*6</f>
        <v>43152.05825294974</v>
      </c>
      <c r="M60" s="7">
        <f>J60*C5*9</f>
        <v>64728.087379424614</v>
      </c>
      <c r="N60" s="7">
        <f>J60*C5*12</f>
        <v>86304.11650589948</v>
      </c>
    </row>
    <row r="61" spans="2:14" ht="38.25">
      <c r="B61" s="1" t="s">
        <v>98</v>
      </c>
      <c r="C61" s="3" t="s">
        <v>215</v>
      </c>
      <c r="D61" s="1" t="s">
        <v>53</v>
      </c>
      <c r="E61" s="1"/>
      <c r="F61" s="1">
        <v>1031274.6</v>
      </c>
      <c r="G61" s="1">
        <v>720128.3</v>
      </c>
      <c r="H61" s="1">
        <v>311146.3</v>
      </c>
      <c r="I61" s="1">
        <f>H61/H59*C5</f>
        <v>29343.395651095416</v>
      </c>
      <c r="J61" s="30">
        <f>I61/C5/12</f>
        <v>0.6067699679713693</v>
      </c>
      <c r="K61" s="42">
        <f>J61*C5*3</f>
        <v>7335.848912773856</v>
      </c>
      <c r="L61" s="7">
        <f>J61*C5*6</f>
        <v>14671.697825547712</v>
      </c>
      <c r="M61" s="7">
        <f>J61*C5*9</f>
        <v>22007.546738321565</v>
      </c>
      <c r="N61" s="7">
        <f>J61*C5*12</f>
        <v>29343.395651095423</v>
      </c>
    </row>
    <row r="62" spans="2:14" ht="12.75">
      <c r="B62" s="1" t="s">
        <v>100</v>
      </c>
      <c r="C62" s="3" t="s">
        <v>101</v>
      </c>
      <c r="D62" s="1" t="s">
        <v>536</v>
      </c>
      <c r="E62" s="1"/>
      <c r="F62" s="1">
        <v>719534.71</v>
      </c>
      <c r="G62" s="1">
        <v>502443.6</v>
      </c>
      <c r="H62" s="1">
        <v>217091.2</v>
      </c>
      <c r="I62" s="1">
        <f>H62/H59*C5</f>
        <v>20473.30459649074</v>
      </c>
      <c r="J62" s="30">
        <f>I62/C5/12</f>
        <v>0.423352038802538</v>
      </c>
      <c r="K62" s="42">
        <f>J62*C5*3</f>
        <v>5118.326149122684</v>
      </c>
      <c r="L62" s="7">
        <f>J62*C5*6</f>
        <v>10236.652298245368</v>
      </c>
      <c r="M62" s="7">
        <f>J62*C5*9</f>
        <v>15354.978447368054</v>
      </c>
      <c r="N62" s="7">
        <f>J62*C5*12</f>
        <v>20473.304596490736</v>
      </c>
    </row>
    <row r="63" spans="2:14" ht="51">
      <c r="B63" s="1" t="s">
        <v>102</v>
      </c>
      <c r="C63" s="3" t="s">
        <v>362</v>
      </c>
      <c r="D63" s="1"/>
      <c r="E63" s="1"/>
      <c r="F63" s="1"/>
      <c r="G63" s="1"/>
      <c r="H63" s="1"/>
      <c r="I63" s="1"/>
      <c r="J63" s="30"/>
      <c r="K63" s="42"/>
      <c r="L63" s="7"/>
      <c r="M63" s="7"/>
      <c r="N63" s="7"/>
    </row>
    <row r="64" spans="2:14" ht="51">
      <c r="B64" s="1" t="s">
        <v>104</v>
      </c>
      <c r="C64" s="4" t="s">
        <v>400</v>
      </c>
      <c r="D64" s="1" t="s">
        <v>71</v>
      </c>
      <c r="E64" s="1"/>
      <c r="F64" s="1"/>
      <c r="G64" s="1"/>
      <c r="H64" s="1"/>
      <c r="I64" s="1"/>
      <c r="J64" s="30"/>
      <c r="K64" s="42"/>
      <c r="L64" s="7"/>
      <c r="M64" s="7"/>
      <c r="N64" s="7"/>
    </row>
    <row r="65" spans="2:14" ht="38.25">
      <c r="B65" s="1" t="s">
        <v>105</v>
      </c>
      <c r="C65" s="3" t="s">
        <v>106</v>
      </c>
      <c r="D65" s="3" t="s">
        <v>107</v>
      </c>
      <c r="E65" s="3" t="s">
        <v>108</v>
      </c>
      <c r="F65" s="1">
        <v>71968.71</v>
      </c>
      <c r="G65" s="1">
        <v>32713.05</v>
      </c>
      <c r="H65" s="1">
        <v>39255.66</v>
      </c>
      <c r="I65" s="1">
        <f>H65/6*C12</f>
        <v>0</v>
      </c>
      <c r="J65" s="30">
        <f>I65/C5/12</f>
        <v>0</v>
      </c>
      <c r="K65" s="42">
        <f>J65*C5*3</f>
        <v>0</v>
      </c>
      <c r="L65" s="7"/>
      <c r="M65" s="7">
        <f>J65*C5*9</f>
        <v>0</v>
      </c>
      <c r="N65" s="7"/>
    </row>
    <row r="66" spans="2:14" ht="12.75">
      <c r="B66" s="1"/>
      <c r="C66" s="4" t="s">
        <v>60</v>
      </c>
      <c r="D66" s="2"/>
      <c r="E66" s="2"/>
      <c r="F66" s="2">
        <v>4855938.6</v>
      </c>
      <c r="G66" s="2">
        <v>3373309.1</v>
      </c>
      <c r="H66" s="2">
        <v>1482629.5</v>
      </c>
      <c r="I66" s="2">
        <f aca="true" t="shared" si="4" ref="I66:N66">SUM(I60:I65)</f>
        <v>136120.81675348565</v>
      </c>
      <c r="J66" s="31">
        <f t="shared" si="4"/>
        <v>2.8147398005269983</v>
      </c>
      <c r="K66" s="43">
        <f t="shared" si="4"/>
        <v>34030.20418837141</v>
      </c>
      <c r="L66" s="6">
        <f t="shared" si="4"/>
        <v>68060.40837674282</v>
      </c>
      <c r="M66" s="6">
        <f t="shared" si="4"/>
        <v>102090.61256511422</v>
      </c>
      <c r="N66" s="6">
        <f t="shared" si="4"/>
        <v>136120.81675348565</v>
      </c>
    </row>
    <row r="67" spans="2:14" ht="12.75">
      <c r="B67" s="1" t="s">
        <v>109</v>
      </c>
      <c r="C67" s="4" t="s">
        <v>482</v>
      </c>
      <c r="D67" s="2"/>
      <c r="E67" s="2">
        <v>141634.46</v>
      </c>
      <c r="F67" s="2"/>
      <c r="G67" s="2">
        <v>98901.86</v>
      </c>
      <c r="H67" s="2">
        <v>42732.6</v>
      </c>
      <c r="I67" s="1"/>
      <c r="J67" s="1"/>
      <c r="K67" s="1"/>
      <c r="L67" s="7"/>
      <c r="M67" s="7"/>
      <c r="N67" s="7"/>
    </row>
    <row r="68" spans="2:14" ht="51">
      <c r="B68" s="1" t="s">
        <v>110</v>
      </c>
      <c r="C68" s="3" t="s">
        <v>483</v>
      </c>
      <c r="D68" s="1" t="s">
        <v>111</v>
      </c>
      <c r="E68" s="1"/>
      <c r="F68" s="1">
        <v>277923.9</v>
      </c>
      <c r="G68" s="1">
        <v>194071.3</v>
      </c>
      <c r="H68" s="1">
        <v>83852.6</v>
      </c>
      <c r="I68" s="1">
        <f>H68/H67*C5</f>
        <v>7907.919901901594</v>
      </c>
      <c r="J68" s="30">
        <f>I68/C5/12</f>
        <v>0.16352191691277077</v>
      </c>
      <c r="K68" s="42">
        <f>J68*C5*3</f>
        <v>1976.9799754753985</v>
      </c>
      <c r="L68" s="7">
        <f>J68*C5*6</f>
        <v>3953.959950950797</v>
      </c>
      <c r="M68" s="7">
        <f>J68*C5*9</f>
        <v>5930.939926426196</v>
      </c>
      <c r="N68" s="7">
        <f>J68*C5*12</f>
        <v>7907.919901901594</v>
      </c>
    </row>
    <row r="69" spans="2:14" ht="12.75">
      <c r="B69" s="1"/>
      <c r="C69" s="3"/>
      <c r="D69" s="1" t="s">
        <v>53</v>
      </c>
      <c r="E69" s="1"/>
      <c r="F69" s="1">
        <v>94494.1</v>
      </c>
      <c r="G69" s="1">
        <v>65984.3</v>
      </c>
      <c r="H69" s="1">
        <v>28509.9</v>
      </c>
      <c r="I69" s="1">
        <f>H69/H67*C5</f>
        <v>2688.6942755647915</v>
      </c>
      <c r="J69" s="30">
        <f>I69/C5/12</f>
        <v>0.05559748295212555</v>
      </c>
      <c r="K69" s="42">
        <f>J69*C5*3</f>
        <v>672.1735688911979</v>
      </c>
      <c r="L69" s="7">
        <f>J69*C5*6</f>
        <v>1344.3471377823957</v>
      </c>
      <c r="M69" s="7">
        <f>J69*C5*9</f>
        <v>2016.5207066735936</v>
      </c>
      <c r="N69" s="7">
        <f>J69*C5*12</f>
        <v>2688.6942755647915</v>
      </c>
    </row>
    <row r="70" spans="2:14" ht="12.75">
      <c r="B70" s="1"/>
      <c r="C70" s="3"/>
      <c r="D70" s="1" t="s">
        <v>536</v>
      </c>
      <c r="E70" s="1"/>
      <c r="F70" s="1">
        <v>79948</v>
      </c>
      <c r="G70" s="1">
        <v>55826.9</v>
      </c>
      <c r="H70" s="1">
        <v>24121.1</v>
      </c>
      <c r="I70" s="1">
        <f>H70/H67*C5</f>
        <v>2274.79799965366</v>
      </c>
      <c r="J70" s="30">
        <f>I70/C5/12</f>
        <v>0.04703883373973656</v>
      </c>
      <c r="K70" s="42">
        <f>J70*C5*3</f>
        <v>568.699499913415</v>
      </c>
      <c r="L70" s="7">
        <f>J70*C5*6</f>
        <v>1137.39899982683</v>
      </c>
      <c r="M70" s="7">
        <f>J70*C5*9</f>
        <v>1706.0984997402452</v>
      </c>
      <c r="N70" s="7">
        <f>J70*C5*12</f>
        <v>2274.79799965366</v>
      </c>
    </row>
    <row r="71" spans="2:14" ht="25.5">
      <c r="B71" s="1"/>
      <c r="C71" s="3"/>
      <c r="D71" s="3" t="s">
        <v>112</v>
      </c>
      <c r="E71" s="1"/>
      <c r="F71" s="1">
        <v>882609.2</v>
      </c>
      <c r="G71" s="1">
        <v>344178.5</v>
      </c>
      <c r="H71" s="1">
        <v>538430.8</v>
      </c>
      <c r="I71" s="1">
        <f>H71/H67*C5</f>
        <v>50778.00377229563</v>
      </c>
      <c r="J71" s="30">
        <f>I71/C5/12</f>
        <v>1.050000078004459</v>
      </c>
      <c r="K71" s="42">
        <f>J71*C5*3</f>
        <v>12694.500943073908</v>
      </c>
      <c r="L71" s="7">
        <f>J71*C5*6</f>
        <v>25389.001886147817</v>
      </c>
      <c r="M71" s="7">
        <f>J71*C5*9</f>
        <v>38083.502829221725</v>
      </c>
      <c r="N71" s="7">
        <f>J71*C5*12</f>
        <v>50778.00377229563</v>
      </c>
    </row>
    <row r="72" spans="2:14" ht="12.75">
      <c r="B72" s="1"/>
      <c r="C72" s="3"/>
      <c r="D72" s="1"/>
      <c r="E72" s="1"/>
      <c r="F72" s="1"/>
      <c r="G72" s="1"/>
      <c r="H72" s="1"/>
      <c r="I72" s="1"/>
      <c r="J72" s="30"/>
      <c r="K72" s="42"/>
      <c r="L72" s="7"/>
      <c r="M72" s="7"/>
      <c r="N72" s="7"/>
    </row>
    <row r="73" spans="2:14" ht="12.75">
      <c r="B73" s="1"/>
      <c r="C73" s="4" t="s">
        <v>60</v>
      </c>
      <c r="D73" s="2"/>
      <c r="E73" s="2"/>
      <c r="F73" s="2">
        <v>1334975.3</v>
      </c>
      <c r="G73" s="2">
        <v>660060.9</v>
      </c>
      <c r="H73" s="2">
        <v>674914.3</v>
      </c>
      <c r="I73" s="2">
        <f aca="true" t="shared" si="5" ref="I73:N73">SUM(I68:I72)</f>
        <v>63649.41594941568</v>
      </c>
      <c r="J73" s="31">
        <f t="shared" si="5"/>
        <v>1.3161583116090918</v>
      </c>
      <c r="K73" s="43">
        <f t="shared" si="5"/>
        <v>15912.35398735392</v>
      </c>
      <c r="L73" s="6">
        <f t="shared" si="5"/>
        <v>31824.70797470784</v>
      </c>
      <c r="M73" s="6">
        <f t="shared" si="5"/>
        <v>47737.06196206176</v>
      </c>
      <c r="N73" s="6">
        <f t="shared" si="5"/>
        <v>63649.41594941568</v>
      </c>
    </row>
    <row r="74" spans="2:14" ht="12.75">
      <c r="B74" s="1" t="s">
        <v>113</v>
      </c>
      <c r="C74" s="4" t="s">
        <v>484</v>
      </c>
      <c r="D74" s="2"/>
      <c r="E74" s="2">
        <v>15</v>
      </c>
      <c r="F74" s="2">
        <v>1600212</v>
      </c>
      <c r="G74" s="2"/>
      <c r="H74" s="2">
        <v>1600212</v>
      </c>
      <c r="I74" s="2">
        <f>I75+I76</f>
        <v>173128.80000000002</v>
      </c>
      <c r="J74" s="31">
        <f>J75+J76</f>
        <v>3.5800000000000005</v>
      </c>
      <c r="K74" s="2">
        <f>J74*C5*3</f>
        <v>43282.200000000004</v>
      </c>
      <c r="L74" s="6">
        <f>J74*C5*6</f>
        <v>86564.40000000001</v>
      </c>
      <c r="M74" s="6">
        <f>J74*C5*9</f>
        <v>129846.6</v>
      </c>
      <c r="N74" s="6">
        <f>J74*C5*12</f>
        <v>173128.80000000002</v>
      </c>
    </row>
    <row r="75" spans="2:14" ht="12.75">
      <c r="B75" s="1"/>
      <c r="C75" s="3" t="s">
        <v>114</v>
      </c>
      <c r="D75" s="1"/>
      <c r="E75" s="1"/>
      <c r="F75" s="1">
        <v>1431000</v>
      </c>
      <c r="G75" s="1"/>
      <c r="H75" s="1">
        <v>1431000</v>
      </c>
      <c r="I75" s="1">
        <f>2.79*C5*12</f>
        <v>134924.40000000002</v>
      </c>
      <c r="J75" s="30">
        <f>I75/C5/12</f>
        <v>2.7900000000000005</v>
      </c>
      <c r="K75" s="1">
        <f>J75*C5*3</f>
        <v>33731.100000000006</v>
      </c>
      <c r="L75" s="7">
        <f>J75*C5*6</f>
        <v>67462.20000000001</v>
      </c>
      <c r="M75" s="7">
        <f>J75*C5*9</f>
        <v>101193.30000000002</v>
      </c>
      <c r="N75" s="7">
        <f>J75*C5*12</f>
        <v>134924.40000000002</v>
      </c>
    </row>
    <row r="76" spans="2:14" ht="12.75">
      <c r="B76" s="1"/>
      <c r="C76" s="3" t="s">
        <v>115</v>
      </c>
      <c r="D76" s="1"/>
      <c r="E76" s="1"/>
      <c r="F76" s="1">
        <v>169212</v>
      </c>
      <c r="G76" s="1"/>
      <c r="H76" s="1">
        <v>169212</v>
      </c>
      <c r="I76" s="1">
        <f>0.79*C5*12</f>
        <v>38204.4</v>
      </c>
      <c r="J76" s="30">
        <f>I76/C5/12</f>
        <v>0.79</v>
      </c>
      <c r="K76" s="1">
        <f>J76*C5*3</f>
        <v>9551.1</v>
      </c>
      <c r="L76" s="7">
        <f>J76*C5*6</f>
        <v>19102.2</v>
      </c>
      <c r="M76" s="7">
        <f>J76*C5*9</f>
        <v>28653.300000000003</v>
      </c>
      <c r="N76" s="7">
        <f>J76*C5*12</f>
        <v>38204.4</v>
      </c>
    </row>
    <row r="77" spans="2:14" ht="12.75">
      <c r="B77" s="1" t="s">
        <v>116</v>
      </c>
      <c r="C77" s="3" t="s">
        <v>485</v>
      </c>
      <c r="D77" s="1"/>
      <c r="E77" s="1"/>
      <c r="F77" s="1"/>
      <c r="G77" s="1"/>
      <c r="H77" s="1"/>
      <c r="I77" s="1"/>
      <c r="J77" s="1"/>
      <c r="K77" s="1"/>
      <c r="L77" s="7"/>
      <c r="M77" s="7"/>
      <c r="N77" s="7"/>
    </row>
    <row r="78" spans="2:14" ht="12.75">
      <c r="B78" s="1"/>
      <c r="C78" s="3"/>
      <c r="D78" s="1"/>
      <c r="E78" s="1"/>
      <c r="F78" s="1"/>
      <c r="G78" s="1"/>
      <c r="H78" s="1"/>
      <c r="I78" s="1"/>
      <c r="J78" s="1"/>
      <c r="K78" s="1"/>
      <c r="L78" s="7"/>
      <c r="M78" s="7"/>
      <c r="N78" s="7"/>
    </row>
    <row r="79" spans="2:14" ht="12.75">
      <c r="B79" s="2" t="s">
        <v>117</v>
      </c>
      <c r="C79" s="4"/>
      <c r="D79" s="2"/>
      <c r="E79" s="2"/>
      <c r="F79" s="2">
        <v>19547580.6</v>
      </c>
      <c r="G79" s="2">
        <v>11502035</v>
      </c>
      <c r="H79" s="2">
        <v>8045545.6</v>
      </c>
      <c r="I79" s="2">
        <f>I32+I41+I42+I49+I58+I66+I73+I74</f>
        <v>792926.214031189</v>
      </c>
      <c r="J79" s="31">
        <f>J32+J41+J42+J49+J58+J66+J73+J74</f>
        <v>16.396323697915403</v>
      </c>
      <c r="K79" s="43">
        <f>J79*C5*3</f>
        <v>198231.55350779725</v>
      </c>
      <c r="L79" s="6">
        <f>L32+L41+L42+L49+L58+L66+L73+L74</f>
        <v>396463.1070155945</v>
      </c>
      <c r="M79" s="6">
        <f>M32+M41+M42+M49+M58+M66+M73+M74</f>
        <v>594694.6605233916</v>
      </c>
      <c r="N79" s="6">
        <f>N32+N41+N42+N49+N58+N66+N73+N74</f>
        <v>792926.214031189</v>
      </c>
    </row>
    <row r="80" spans="2:14" ht="12.75">
      <c r="B80" s="1"/>
      <c r="C80" s="3" t="s">
        <v>118</v>
      </c>
      <c r="D80" s="1"/>
      <c r="E80" s="1"/>
      <c r="F80" s="1">
        <v>1724360</v>
      </c>
      <c r="G80" s="1">
        <v>1204102.5</v>
      </c>
      <c r="H80" s="1">
        <v>520257.5</v>
      </c>
      <c r="I80" s="1">
        <f>H80/H79*I79</f>
        <v>51273.81414584628</v>
      </c>
      <c r="J80" s="30">
        <f>I80/C5/12</f>
        <v>1.0602525671184093</v>
      </c>
      <c r="K80" s="42">
        <f>J80*C5*3</f>
        <v>12818.45353646157</v>
      </c>
      <c r="L80" s="7">
        <f>J80*C5*6</f>
        <v>25636.90707292314</v>
      </c>
      <c r="M80" s="7">
        <f>J80*C5*9</f>
        <v>38455.360609384705</v>
      </c>
      <c r="N80" s="7">
        <f>J80*C5*12</f>
        <v>51273.81414584628</v>
      </c>
    </row>
    <row r="81" spans="2:14" ht="25.5">
      <c r="B81" s="1"/>
      <c r="C81" s="3" t="s">
        <v>119</v>
      </c>
      <c r="D81" s="1"/>
      <c r="E81" s="1"/>
      <c r="F81" s="1">
        <v>5396925.11</v>
      </c>
      <c r="G81" s="1">
        <v>3223686.7</v>
      </c>
      <c r="H81" s="1">
        <v>2173238.4</v>
      </c>
      <c r="I81" s="1">
        <f>H81/(H79+H80)*(I79+I80)</f>
        <v>214182.82642002535</v>
      </c>
      <c r="J81" s="30">
        <f>I81/C5/12</f>
        <v>4.428925277502592</v>
      </c>
      <c r="K81" s="42">
        <f>C5*3</f>
        <v>12090</v>
      </c>
      <c r="L81" s="7">
        <f>J81*C5*6</f>
        <v>107091.41321001267</v>
      </c>
      <c r="M81" s="7">
        <f>J81*C5*9</f>
        <v>160637.11981501902</v>
      </c>
      <c r="N81" s="7">
        <f>J81*C5*12</f>
        <v>214182.82642002535</v>
      </c>
    </row>
    <row r="82" spans="2:14" ht="12.75">
      <c r="B82" s="2" t="s">
        <v>590</v>
      </c>
      <c r="C82" s="4"/>
      <c r="D82" s="2"/>
      <c r="E82" s="2"/>
      <c r="F82" s="2">
        <v>26668865.67</v>
      </c>
      <c r="G82" s="2">
        <v>15929824.3</v>
      </c>
      <c r="H82" s="2">
        <v>10739041.4</v>
      </c>
      <c r="I82" s="2">
        <f>I79+I80+I81</f>
        <v>1058382.8545970607</v>
      </c>
      <c r="J82" s="31">
        <f>J79+J80+J81</f>
        <v>21.885501542536403</v>
      </c>
      <c r="K82" s="43">
        <f>J82*C5*3</f>
        <v>264595.7136492651</v>
      </c>
      <c r="L82" s="6">
        <f>SUM(L79:L81)</f>
        <v>529191.4272985304</v>
      </c>
      <c r="M82" s="6">
        <f>SUM(M79:M81)</f>
        <v>793787.1409477952</v>
      </c>
      <c r="N82" s="6">
        <f>SUM(N79:N81)</f>
        <v>1058382.8545970607</v>
      </c>
    </row>
    <row r="83" spans="2:14" ht="12.75">
      <c r="B83" s="1" t="s">
        <v>120</v>
      </c>
      <c r="C83" s="3"/>
      <c r="D83" s="1"/>
      <c r="E83" s="1"/>
      <c r="F83" s="1">
        <v>1333443.28</v>
      </c>
      <c r="G83" s="1">
        <v>796491.2</v>
      </c>
      <c r="H83" s="1">
        <v>536952.07</v>
      </c>
      <c r="I83" s="1"/>
      <c r="J83" s="30"/>
      <c r="K83" s="42"/>
      <c r="L83" s="7"/>
      <c r="M83" s="7"/>
      <c r="N83" s="7"/>
    </row>
    <row r="84" spans="2:14" ht="25.5">
      <c r="B84" s="1"/>
      <c r="C84" s="4" t="s">
        <v>121</v>
      </c>
      <c r="D84" s="2"/>
      <c r="E84" s="2"/>
      <c r="F84" s="2">
        <v>28002308.95</v>
      </c>
      <c r="G84" s="2">
        <v>16726315.5</v>
      </c>
      <c r="H84" s="2">
        <v>11275993.5</v>
      </c>
      <c r="I84" s="2">
        <f>I82+I83</f>
        <v>1058382.8545970607</v>
      </c>
      <c r="J84" s="31">
        <f>J82+J83</f>
        <v>21.885501542536403</v>
      </c>
      <c r="K84" s="2">
        <f>J84*C5*3</f>
        <v>264595.7136492651</v>
      </c>
      <c r="L84" s="6">
        <f>L82+L83</f>
        <v>529191.4272985304</v>
      </c>
      <c r="M84" s="6">
        <f>M82+M83</f>
        <v>793787.1409477952</v>
      </c>
      <c r="N84" s="6">
        <f>N82+N83</f>
        <v>1058382.8545970607</v>
      </c>
    </row>
    <row r="85" spans="2:14" ht="12.75">
      <c r="B85" s="1"/>
      <c r="C85" s="4" t="s">
        <v>193</v>
      </c>
      <c r="D85" s="2"/>
      <c r="E85" s="2"/>
      <c r="F85" s="2"/>
      <c r="G85" s="2"/>
      <c r="H85" s="2"/>
      <c r="I85" s="2"/>
      <c r="J85" s="2"/>
      <c r="K85" s="2"/>
      <c r="L85" s="6">
        <v>9184.92</v>
      </c>
      <c r="M85" s="6">
        <v>9184.92</v>
      </c>
      <c r="N85" s="2">
        <v>9184.92</v>
      </c>
    </row>
    <row r="86" spans="2:14" ht="12.75">
      <c r="B86" s="1"/>
      <c r="C86" s="1" t="s">
        <v>514</v>
      </c>
      <c r="D86" s="1"/>
      <c r="E86" s="1"/>
      <c r="F86" s="1"/>
      <c r="G86" s="1"/>
      <c r="H86" s="1"/>
      <c r="I86" s="1"/>
      <c r="J86" s="1">
        <v>21.08</v>
      </c>
      <c r="K86" s="1"/>
      <c r="L86" s="7"/>
      <c r="M86" s="7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>
        <v>2.79</v>
      </c>
      <c r="K87" s="1"/>
      <c r="L87" s="1"/>
      <c r="M87" s="7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2" t="s">
        <v>231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 t="s">
        <v>219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220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2" t="s">
        <v>221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232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 t="s">
        <v>219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220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2" t="s">
        <v>221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233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 t="s">
        <v>219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220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</sheetData>
  <mergeCells count="16">
    <mergeCell ref="B13:B17"/>
    <mergeCell ref="C13:C17"/>
    <mergeCell ref="D13:D17"/>
    <mergeCell ref="E13:E17"/>
    <mergeCell ref="F13:F17"/>
    <mergeCell ref="G13:H13"/>
    <mergeCell ref="I13:J13"/>
    <mergeCell ref="G14:G17"/>
    <mergeCell ref="H14:H17"/>
    <mergeCell ref="I14:I17"/>
    <mergeCell ref="J14:J17"/>
    <mergeCell ref="K13:N13"/>
    <mergeCell ref="K14:K17"/>
    <mergeCell ref="L14:L17"/>
    <mergeCell ref="M14:M17"/>
    <mergeCell ref="N14:N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B4:P100"/>
  <sheetViews>
    <sheetView workbookViewId="0" topLeftCell="A4">
      <pane xSplit="1" ySplit="14" topLeftCell="B63" activePane="bottomRight" state="frozen"/>
      <selection pane="topLeft" activeCell="A4" sqref="A4"/>
      <selection pane="topRight" activeCell="B4" sqref="B4"/>
      <selection pane="bottomLeft" activeCell="A18" sqref="A18"/>
      <selection pane="bottomRight" activeCell="O14" sqref="O14"/>
    </sheetView>
  </sheetViews>
  <sheetFormatPr defaultColWidth="9.140625" defaultRowHeight="12.75"/>
  <cols>
    <col min="3" max="3" width="36.28125" style="0" customWidth="1"/>
    <col min="4" max="4" width="17.28125" style="0" customWidth="1"/>
    <col min="5" max="5" width="16.8515625" style="0" hidden="1" customWidth="1"/>
    <col min="6" max="6" width="14.140625" style="0" hidden="1" customWidth="1"/>
    <col min="7" max="7" width="15.7109375" style="0" hidden="1" customWidth="1"/>
    <col min="8" max="8" width="13.8515625" style="0" hidden="1" customWidth="1"/>
    <col min="9" max="9" width="11.8515625" style="0" hidden="1" customWidth="1"/>
    <col min="10" max="10" width="10.57421875" style="0" customWidth="1"/>
    <col min="11" max="11" width="14.57421875" style="0" customWidth="1"/>
    <col min="12" max="12" width="14.140625" style="0" customWidth="1"/>
    <col min="13" max="14" width="10.8515625" style="0" customWidth="1"/>
    <col min="15" max="15" width="12.7109375" style="0" customWidth="1"/>
    <col min="16" max="16" width="12.140625" style="0" customWidth="1"/>
    <col min="17" max="17" width="10.140625" style="0" customWidth="1"/>
    <col min="18" max="18" width="16.00390625" style="0" customWidth="1"/>
  </cols>
  <sheetData>
    <row r="4" spans="2:3" ht="12.75">
      <c r="B4" s="5" t="s">
        <v>487</v>
      </c>
      <c r="C4" s="5" t="s">
        <v>500</v>
      </c>
    </row>
    <row r="5" spans="2:3" ht="12.75">
      <c r="B5" t="s">
        <v>488</v>
      </c>
      <c r="C5">
        <v>3979.1</v>
      </c>
    </row>
    <row r="6" spans="2:3" ht="12.75">
      <c r="B6" t="s">
        <v>489</v>
      </c>
      <c r="C6">
        <v>2725</v>
      </c>
    </row>
    <row r="7" spans="2:3" ht="12.75">
      <c r="B7" t="s">
        <v>490</v>
      </c>
      <c r="C7">
        <v>625</v>
      </c>
    </row>
    <row r="8" spans="2:3" ht="12.75">
      <c r="B8" t="s">
        <v>491</v>
      </c>
      <c r="C8">
        <v>747.2</v>
      </c>
    </row>
    <row r="9" spans="2:3" ht="12.75">
      <c r="B9" t="s">
        <v>492</v>
      </c>
      <c r="C9">
        <v>2</v>
      </c>
    </row>
    <row r="10" spans="2:3" ht="12.75">
      <c r="B10" t="s">
        <v>493</v>
      </c>
      <c r="C10">
        <v>72</v>
      </c>
    </row>
    <row r="11" spans="2:3" ht="12.75">
      <c r="B11" t="s">
        <v>484</v>
      </c>
      <c r="C11">
        <v>2</v>
      </c>
    </row>
    <row r="13" spans="2:14" ht="12.75">
      <c r="B13" s="74" t="s">
        <v>40</v>
      </c>
      <c r="C13" s="74" t="s">
        <v>22</v>
      </c>
      <c r="D13" s="74" t="s">
        <v>41</v>
      </c>
      <c r="E13" s="74" t="s">
        <v>42</v>
      </c>
      <c r="F13" s="74" t="s">
        <v>43</v>
      </c>
      <c r="G13" s="74" t="s">
        <v>44</v>
      </c>
      <c r="H13" s="74"/>
      <c r="I13" s="79" t="s">
        <v>123</v>
      </c>
      <c r="J13" s="79"/>
      <c r="K13" s="74" t="s">
        <v>131</v>
      </c>
      <c r="L13" s="74"/>
      <c r="M13" s="74"/>
      <c r="N13" s="74"/>
    </row>
    <row r="14" spans="2:14" ht="12.75">
      <c r="B14" s="74"/>
      <c r="C14" s="74"/>
      <c r="D14" s="74"/>
      <c r="E14" s="74"/>
      <c r="F14" s="74"/>
      <c r="G14" s="74" t="s">
        <v>122</v>
      </c>
      <c r="H14" s="74" t="s">
        <v>45</v>
      </c>
      <c r="I14" s="74" t="s">
        <v>124</v>
      </c>
      <c r="J14" s="74" t="s">
        <v>125</v>
      </c>
      <c r="K14" s="74" t="s">
        <v>132</v>
      </c>
      <c r="L14" s="81" t="s">
        <v>172</v>
      </c>
      <c r="M14" s="81" t="s">
        <v>222</v>
      </c>
      <c r="N14" s="81" t="s">
        <v>305</v>
      </c>
    </row>
    <row r="15" spans="2:14" ht="12.7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81"/>
      <c r="M15" s="81"/>
      <c r="N15" s="81"/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4" t="s">
        <v>46</v>
      </c>
      <c r="D21" s="2"/>
      <c r="E21" s="2">
        <v>141634.46</v>
      </c>
      <c r="F21" s="2"/>
      <c r="G21" s="2">
        <v>98901.86</v>
      </c>
      <c r="H21" s="2">
        <v>42732.6</v>
      </c>
      <c r="I21" s="1"/>
      <c r="J21" s="1"/>
      <c r="K21" s="1"/>
      <c r="L21" s="1"/>
      <c r="M21" s="1"/>
      <c r="N21" s="1"/>
    </row>
    <row r="22" spans="2:14" ht="12.75">
      <c r="B22" s="1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 t="s">
        <v>47</v>
      </c>
      <c r="C23" s="4" t="s">
        <v>23</v>
      </c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</row>
    <row r="24" spans="2:14" ht="25.5">
      <c r="B24" s="1" t="s">
        <v>48</v>
      </c>
      <c r="C24" s="4" t="s">
        <v>24</v>
      </c>
      <c r="D24" s="2"/>
      <c r="E24" s="2">
        <v>17784</v>
      </c>
      <c r="F24" s="2"/>
      <c r="G24" s="2">
        <v>10809.7</v>
      </c>
      <c r="H24" s="2">
        <v>6974.3</v>
      </c>
      <c r="I24" s="1"/>
      <c r="J24" s="1"/>
      <c r="K24" s="1"/>
      <c r="L24" s="1"/>
      <c r="M24" s="1"/>
      <c r="N24" s="1"/>
    </row>
    <row r="25" spans="2:14" ht="25.5">
      <c r="B25" s="1" t="s">
        <v>49</v>
      </c>
      <c r="C25" s="3" t="s">
        <v>25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6" ht="25.5">
      <c r="B26" s="1" t="s">
        <v>50</v>
      </c>
      <c r="C26" s="3" t="s">
        <v>26</v>
      </c>
      <c r="D26" s="1" t="s">
        <v>51</v>
      </c>
      <c r="E26" s="1"/>
      <c r="F26" s="1">
        <v>2343012.48</v>
      </c>
      <c r="G26" s="1">
        <v>1045514.2</v>
      </c>
      <c r="H26" s="1">
        <v>1297498.3</v>
      </c>
      <c r="I26" s="1">
        <f>H26/H24*C8</f>
        <v>139009.0374317136</v>
      </c>
      <c r="J26" s="30">
        <f>I26/C5/12</f>
        <v>2.91123280456455</v>
      </c>
      <c r="K26" s="42">
        <f>J26*C5*3</f>
        <v>34752.2593579284</v>
      </c>
      <c r="L26" s="7">
        <f>J26*C5*6</f>
        <v>69504.5187158568</v>
      </c>
      <c r="M26" s="7">
        <f>J26*C5*9</f>
        <v>104256.77807378522</v>
      </c>
      <c r="N26" s="7">
        <f>J26*C5*12</f>
        <v>139009.0374317136</v>
      </c>
      <c r="O26" s="36"/>
      <c r="P26" t="s">
        <v>143</v>
      </c>
    </row>
    <row r="27" spans="2:15" ht="25.5">
      <c r="B27" s="1" t="s">
        <v>52</v>
      </c>
      <c r="C27" s="3" t="s">
        <v>27</v>
      </c>
      <c r="D27" s="1" t="s">
        <v>53</v>
      </c>
      <c r="E27" s="1"/>
      <c r="F27" s="1">
        <v>796624.2</v>
      </c>
      <c r="G27" s="1">
        <v>355474.8</v>
      </c>
      <c r="H27" s="1">
        <v>441149.4</v>
      </c>
      <c r="I27" s="1">
        <f>H27/H24*C8</f>
        <v>47263.07036978622</v>
      </c>
      <c r="J27" s="30">
        <f>I27/C5/12</f>
        <v>0.9898191041899387</v>
      </c>
      <c r="K27" s="42">
        <f>J27*C5*3</f>
        <v>11815.767592446555</v>
      </c>
      <c r="L27" s="7">
        <f>J27*C5*6</f>
        <v>23631.53518489311</v>
      </c>
      <c r="M27" s="7">
        <f>J27*C5*9</f>
        <v>35447.30277733966</v>
      </c>
      <c r="N27" s="7">
        <f>J27*C5*12</f>
        <v>47263.07036978622</v>
      </c>
      <c r="O27" s="36"/>
    </row>
    <row r="28" spans="2:15" ht="12.75">
      <c r="B28" s="1" t="s">
        <v>54</v>
      </c>
      <c r="C28" s="3" t="s">
        <v>28</v>
      </c>
      <c r="D28" s="1" t="s">
        <v>536</v>
      </c>
      <c r="E28" s="1"/>
      <c r="F28" s="1">
        <v>116909.87</v>
      </c>
      <c r="G28" s="1">
        <v>71061.7</v>
      </c>
      <c r="H28" s="1">
        <v>45848.2</v>
      </c>
      <c r="I28" s="1">
        <f>H28/H24*C8</f>
        <v>4912.001927075118</v>
      </c>
      <c r="J28" s="30">
        <f>I28/C5/12</f>
        <v>0.10287087379631739</v>
      </c>
      <c r="K28" s="42">
        <f>J28*C5*3</f>
        <v>1228.0004817687795</v>
      </c>
      <c r="L28" s="7">
        <f>J28*C5*6</f>
        <v>2456.000963537559</v>
      </c>
      <c r="M28" s="7">
        <f>J28*C5*9</f>
        <v>3684.0014453063386</v>
      </c>
      <c r="N28" s="7">
        <f>J28*C5*12</f>
        <v>4912.001927075118</v>
      </c>
      <c r="O28" s="36"/>
    </row>
    <row r="29" spans="2:15" ht="12.75">
      <c r="B29" s="1" t="s">
        <v>55</v>
      </c>
      <c r="C29" s="3" t="s">
        <v>29</v>
      </c>
      <c r="D29" s="1"/>
      <c r="E29" s="1">
        <v>15</v>
      </c>
      <c r="F29" s="1"/>
      <c r="G29" s="1"/>
      <c r="H29" s="1"/>
      <c r="I29" s="1"/>
      <c r="J29" s="1"/>
      <c r="K29" s="42"/>
      <c r="L29" s="7"/>
      <c r="M29" s="7"/>
      <c r="N29" s="7"/>
      <c r="O29" s="36"/>
    </row>
    <row r="30" spans="2:15" ht="25.5">
      <c r="B30" s="1" t="s">
        <v>56</v>
      </c>
      <c r="C30" s="3" t="s">
        <v>57</v>
      </c>
      <c r="D30" s="3" t="s">
        <v>58</v>
      </c>
      <c r="E30" s="1"/>
      <c r="F30" s="1">
        <v>674</v>
      </c>
      <c r="G30" s="1"/>
      <c r="H30" s="1">
        <v>674</v>
      </c>
      <c r="I30" s="1">
        <f>H30/H24*C8</f>
        <v>72.20979883285777</v>
      </c>
      <c r="J30" s="30">
        <f>I30/C5/12</f>
        <v>0.0015122724324775655</v>
      </c>
      <c r="K30" s="42">
        <f>J30*C5*3</f>
        <v>18.052449708214443</v>
      </c>
      <c r="L30" s="7">
        <f>J30*C5*6</f>
        <v>36.104899416428886</v>
      </c>
      <c r="M30" s="7">
        <f>J30*C5*9</f>
        <v>54.15734912464333</v>
      </c>
      <c r="N30" s="7">
        <f>J30*C5*12</f>
        <v>72.20979883285777</v>
      </c>
      <c r="O30" s="36"/>
    </row>
    <row r="31" spans="2:15" ht="38.25">
      <c r="B31" s="1" t="s">
        <v>59</v>
      </c>
      <c r="C31" s="3" t="s">
        <v>30</v>
      </c>
      <c r="D31" s="1"/>
      <c r="E31" s="1"/>
      <c r="F31" s="1"/>
      <c r="G31" s="1"/>
      <c r="H31" s="1"/>
      <c r="I31" s="1"/>
      <c r="J31" s="1"/>
      <c r="K31" s="42"/>
      <c r="L31" s="7"/>
      <c r="M31" s="7"/>
      <c r="N31" s="7"/>
      <c r="O31" s="36"/>
    </row>
    <row r="32" spans="2:15" ht="12.75">
      <c r="B32" s="1"/>
      <c r="C32" s="4" t="s">
        <v>60</v>
      </c>
      <c r="D32" s="2"/>
      <c r="E32" s="2"/>
      <c r="F32" s="2">
        <v>3257220.6</v>
      </c>
      <c r="G32" s="2">
        <v>1472050.7</v>
      </c>
      <c r="H32" s="2">
        <v>1785169.9</v>
      </c>
      <c r="I32" s="2">
        <f aca="true" t="shared" si="0" ref="I32:N32">SUM(I26:I31)</f>
        <v>191256.31952740782</v>
      </c>
      <c r="J32" s="31">
        <f t="shared" si="0"/>
        <v>4.005435054983284</v>
      </c>
      <c r="K32" s="43">
        <f t="shared" si="0"/>
        <v>47814.079881851954</v>
      </c>
      <c r="L32" s="6">
        <f t="shared" si="0"/>
        <v>95628.15976370391</v>
      </c>
      <c r="M32" s="6">
        <f t="shared" si="0"/>
        <v>143442.23964555588</v>
      </c>
      <c r="N32" s="6">
        <f t="shared" si="0"/>
        <v>191256.31952740782</v>
      </c>
      <c r="O32" s="36"/>
    </row>
    <row r="33" spans="2:15" ht="38.25">
      <c r="B33" s="1" t="s">
        <v>61</v>
      </c>
      <c r="C33" s="4" t="s">
        <v>31</v>
      </c>
      <c r="D33" s="2"/>
      <c r="E33" s="2">
        <v>111234.9</v>
      </c>
      <c r="F33" s="2"/>
      <c r="G33" s="2">
        <v>78376.2</v>
      </c>
      <c r="H33" s="2">
        <v>32858.7</v>
      </c>
      <c r="I33" s="1"/>
      <c r="J33" s="1"/>
      <c r="K33" s="1"/>
      <c r="L33" s="7"/>
      <c r="M33" s="7"/>
      <c r="N33" s="7"/>
      <c r="O33" s="36"/>
    </row>
    <row r="34" spans="2:15" ht="25.5">
      <c r="B34" s="1" t="s">
        <v>62</v>
      </c>
      <c r="C34" s="3" t="s">
        <v>32</v>
      </c>
      <c r="D34" s="1" t="s">
        <v>51</v>
      </c>
      <c r="E34" s="1"/>
      <c r="F34" s="1">
        <v>815719.552</v>
      </c>
      <c r="G34" s="1">
        <v>574756.7</v>
      </c>
      <c r="H34" s="1">
        <v>240962.9</v>
      </c>
      <c r="I34" s="1">
        <f>H34/H33*(C7+C6)</f>
        <v>24566.574910145566</v>
      </c>
      <c r="J34" s="30">
        <f>I34/C5/12</f>
        <v>0.5144918639505074</v>
      </c>
      <c r="K34" s="42">
        <f>J34*C5*3</f>
        <v>6141.643727536391</v>
      </c>
      <c r="L34" s="7">
        <f>J34*C5*6</f>
        <v>12283.287455072783</v>
      </c>
      <c r="M34" s="7">
        <f>J34*C5*9</f>
        <v>18424.931182609176</v>
      </c>
      <c r="N34" s="7">
        <f>J34*C5*12</f>
        <v>24566.574910145566</v>
      </c>
      <c r="O34" s="36"/>
    </row>
    <row r="35" spans="2:15" ht="12.75">
      <c r="B35" s="1" t="s">
        <v>63</v>
      </c>
      <c r="C35" s="3" t="s">
        <v>311</v>
      </c>
      <c r="D35" s="1" t="s">
        <v>53</v>
      </c>
      <c r="E35" s="1"/>
      <c r="F35" s="1">
        <v>277344.6</v>
      </c>
      <c r="G35" s="1">
        <v>195417.3</v>
      </c>
      <c r="H35" s="1">
        <v>81927.4</v>
      </c>
      <c r="I35" s="1">
        <f>H35/H33*(C7+C6)</f>
        <v>8352.636896773154</v>
      </c>
      <c r="J35" s="30">
        <f>I35/C5/12</f>
        <v>0.17492726363526834</v>
      </c>
      <c r="K35" s="42">
        <f>J35*C5*3</f>
        <v>2088.1592241932885</v>
      </c>
      <c r="L35" s="7">
        <f>J35*C5*6</f>
        <v>4176.318448386577</v>
      </c>
      <c r="M35" s="7">
        <f>J35*C5*9</f>
        <v>6264.477672579866</v>
      </c>
      <c r="N35" s="7">
        <f>J35*C5*12</f>
        <v>8352.636896773154</v>
      </c>
      <c r="O35" s="36"/>
    </row>
    <row r="36" spans="2:15" ht="12.75">
      <c r="B36" s="1" t="s">
        <v>65</v>
      </c>
      <c r="C36" s="3" t="s">
        <v>66</v>
      </c>
      <c r="D36" s="1" t="s">
        <v>536</v>
      </c>
      <c r="E36" s="1"/>
      <c r="F36" s="1">
        <v>115582.34</v>
      </c>
      <c r="G36" s="1">
        <v>81439.4</v>
      </c>
      <c r="H36" s="1">
        <v>34142.9</v>
      </c>
      <c r="I36" s="1">
        <f>H36/H33*(C6+C7)</f>
        <v>3480.9263604463968</v>
      </c>
      <c r="J36" s="30">
        <f>I36/C5/12</f>
        <v>0.07290020273525832</v>
      </c>
      <c r="K36" s="42">
        <f>J36*C5*3</f>
        <v>870.2315901115992</v>
      </c>
      <c r="L36" s="7">
        <f>J36*C5*6</f>
        <v>1740.4631802231984</v>
      </c>
      <c r="M36" s="7">
        <f>J36*C5*9</f>
        <v>2610.6947703347973</v>
      </c>
      <c r="N36" s="7">
        <f>J36*C5*12</f>
        <v>3480.9263604463968</v>
      </c>
      <c r="O36" s="36"/>
    </row>
    <row r="37" spans="2:15" ht="25.5">
      <c r="B37" s="1" t="s">
        <v>67</v>
      </c>
      <c r="C37" s="3" t="s">
        <v>34</v>
      </c>
      <c r="D37" s="1" t="s">
        <v>68</v>
      </c>
      <c r="E37" s="1"/>
      <c r="F37" s="1">
        <v>55220.9</v>
      </c>
      <c r="G37" s="1">
        <v>38908.7</v>
      </c>
      <c r="H37" s="1">
        <v>16312.2</v>
      </c>
      <c r="I37" s="1">
        <f>H37/H33*(C7+C6)</f>
        <v>1663.0563595029628</v>
      </c>
      <c r="J37" s="30">
        <f>I37/C5/12</f>
        <v>0.0348289889569451</v>
      </c>
      <c r="K37" s="42">
        <f>J37*C5*3</f>
        <v>415.76408987574064</v>
      </c>
      <c r="L37" s="7">
        <f>J37*C5*6</f>
        <v>831.5281797514813</v>
      </c>
      <c r="M37" s="7">
        <f>J37*C5*9</f>
        <v>1247.292269627222</v>
      </c>
      <c r="N37" s="7">
        <f>J37*C5*12</f>
        <v>1663.0563595029626</v>
      </c>
      <c r="O37" s="36"/>
    </row>
    <row r="38" spans="2:15" ht="25.5">
      <c r="B38" s="1" t="s">
        <v>69</v>
      </c>
      <c r="C38" s="3" t="s">
        <v>35</v>
      </c>
      <c r="D38" s="1"/>
      <c r="E38" s="1"/>
      <c r="F38" s="1"/>
      <c r="G38" s="1"/>
      <c r="H38" s="1"/>
      <c r="I38" s="1"/>
      <c r="J38" s="30"/>
      <c r="K38" s="42"/>
      <c r="L38" s="7"/>
      <c r="M38" s="7"/>
      <c r="N38" s="7"/>
      <c r="O38" s="36"/>
    </row>
    <row r="39" spans="2:15" ht="12.75">
      <c r="B39" s="1" t="s">
        <v>70</v>
      </c>
      <c r="C39" s="3" t="s">
        <v>36</v>
      </c>
      <c r="D39" s="1" t="s">
        <v>71</v>
      </c>
      <c r="E39" s="1"/>
      <c r="F39" s="1"/>
      <c r="G39" s="1"/>
      <c r="H39" s="1"/>
      <c r="I39" s="1"/>
      <c r="J39" s="30"/>
      <c r="K39" s="42"/>
      <c r="L39" s="7"/>
      <c r="M39" s="7"/>
      <c r="N39" s="7"/>
      <c r="O39" s="36"/>
    </row>
    <row r="40" spans="2:15" ht="12.75">
      <c r="B40" s="1" t="s">
        <v>72</v>
      </c>
      <c r="C40" s="3" t="s">
        <v>73</v>
      </c>
      <c r="D40" s="1"/>
      <c r="E40" s="1"/>
      <c r="F40" s="1">
        <v>30500</v>
      </c>
      <c r="G40" s="1">
        <v>21297.8</v>
      </c>
      <c r="H40" s="1">
        <v>9202.2</v>
      </c>
      <c r="I40" s="1">
        <f>H40/H21*C5</f>
        <v>856.8744710127631</v>
      </c>
      <c r="J40" s="30">
        <f>I40/C5/12</f>
        <v>0.017945315754248514</v>
      </c>
      <c r="K40" s="42">
        <f>J40*C5*3</f>
        <v>214.21861775319078</v>
      </c>
      <c r="L40" s="7">
        <f>J40*C5*6</f>
        <v>428.43723550638157</v>
      </c>
      <c r="M40" s="7">
        <f>J40*C5*9</f>
        <v>642.6558532595724</v>
      </c>
      <c r="N40" s="7">
        <f>J40*C5*12</f>
        <v>856.8744710127631</v>
      </c>
      <c r="O40" s="36"/>
    </row>
    <row r="41" spans="2:15" ht="12.75">
      <c r="B41" s="1"/>
      <c r="C41" s="4" t="s">
        <v>60</v>
      </c>
      <c r="D41" s="2"/>
      <c r="E41" s="2"/>
      <c r="F41" s="2">
        <v>1294367.4</v>
      </c>
      <c r="G41" s="2">
        <v>911819.85</v>
      </c>
      <c r="H41" s="2">
        <v>382547.6</v>
      </c>
      <c r="I41" s="2">
        <f aca="true" t="shared" si="1" ref="I41:N41">SUM(I34:I40)</f>
        <v>38920.068997880844</v>
      </c>
      <c r="J41" s="31">
        <f t="shared" si="1"/>
        <v>0.8150936350322276</v>
      </c>
      <c r="K41" s="43">
        <f t="shared" si="1"/>
        <v>9730.017249470211</v>
      </c>
      <c r="L41" s="6">
        <f t="shared" si="1"/>
        <v>19460.034498940422</v>
      </c>
      <c r="M41" s="6">
        <f t="shared" si="1"/>
        <v>29190.051748410635</v>
      </c>
      <c r="N41" s="6">
        <f t="shared" si="1"/>
        <v>38920.068997880844</v>
      </c>
      <c r="O41" s="36"/>
    </row>
    <row r="42" spans="2:15" ht="12.75">
      <c r="B42" s="1" t="s">
        <v>74</v>
      </c>
      <c r="C42" s="4" t="s">
        <v>37</v>
      </c>
      <c r="D42" s="2"/>
      <c r="E42" s="2"/>
      <c r="F42" s="2">
        <v>5004925.7</v>
      </c>
      <c r="G42" s="2">
        <v>3548598.7</v>
      </c>
      <c r="H42" s="2">
        <v>1456327</v>
      </c>
      <c r="I42" s="2">
        <f>H42/H21*C5</f>
        <v>135607.7272550699</v>
      </c>
      <c r="J42" s="31">
        <f>I42/C5/12</f>
        <v>2.8399999843991086</v>
      </c>
      <c r="K42" s="43">
        <f>J42*C5*3</f>
        <v>33901.93181376748</v>
      </c>
      <c r="L42" s="6">
        <f>J42*C5*6</f>
        <v>67803.86362753496</v>
      </c>
      <c r="M42" s="6">
        <f>J42*C5*9</f>
        <v>101705.79544130243</v>
      </c>
      <c r="N42" s="6">
        <f>J42*C5*12</f>
        <v>135607.7272550699</v>
      </c>
      <c r="O42" s="36"/>
    </row>
    <row r="43" spans="2:15" ht="38.25">
      <c r="B43" s="1" t="s">
        <v>75</v>
      </c>
      <c r="C43" s="4" t="s">
        <v>38</v>
      </c>
      <c r="D43" s="2"/>
      <c r="E43" s="2">
        <v>141634.46</v>
      </c>
      <c r="F43" s="2"/>
      <c r="G43" s="2">
        <v>98901.86</v>
      </c>
      <c r="H43" s="2">
        <v>42732.6</v>
      </c>
      <c r="I43" s="1"/>
      <c r="J43" s="1"/>
      <c r="K43" s="1"/>
      <c r="L43" s="7"/>
      <c r="M43" s="7"/>
      <c r="N43" s="7"/>
      <c r="O43" s="36"/>
    </row>
    <row r="44" spans="2:15" ht="63.75">
      <c r="B44" s="1" t="s">
        <v>76</v>
      </c>
      <c r="C44" s="3" t="s">
        <v>77</v>
      </c>
      <c r="D44" s="1" t="s">
        <v>51</v>
      </c>
      <c r="E44" s="1"/>
      <c r="F44" s="1">
        <v>558138</v>
      </c>
      <c r="G44" s="1">
        <v>389741.9</v>
      </c>
      <c r="H44" s="1">
        <v>168396.1</v>
      </c>
      <c r="I44" s="1">
        <f>H44/H43*C5</f>
        <v>15680.415455881459</v>
      </c>
      <c r="J44" s="30">
        <f>I44/C5/12</f>
        <v>0.3283911658390394</v>
      </c>
      <c r="K44" s="42">
        <f>J44*C5*3</f>
        <v>3920.1038639703647</v>
      </c>
      <c r="L44" s="7">
        <f>J44*C5*6</f>
        <v>7840.2077279407295</v>
      </c>
      <c r="M44" s="7">
        <f>J44*C5*9</f>
        <v>11760.311591911093</v>
      </c>
      <c r="N44" s="7">
        <f>J44*C5*12</f>
        <v>15680.415455881459</v>
      </c>
      <c r="O44" s="36"/>
    </row>
    <row r="45" spans="2:15" ht="76.5">
      <c r="B45" s="1" t="s">
        <v>78</v>
      </c>
      <c r="C45" s="3" t="s">
        <v>189</v>
      </c>
      <c r="D45" s="1" t="s">
        <v>53</v>
      </c>
      <c r="E45" s="1"/>
      <c r="F45" s="1">
        <v>189767</v>
      </c>
      <c r="G45" s="1">
        <v>132512</v>
      </c>
      <c r="H45" s="1">
        <v>57255</v>
      </c>
      <c r="I45" s="1">
        <f>H45/H43*C5</f>
        <v>5331.371610901279</v>
      </c>
      <c r="J45" s="30">
        <f>I45/C5/12</f>
        <v>0.11165363212161207</v>
      </c>
      <c r="K45" s="42">
        <f>J45*C5*3</f>
        <v>1332.8429027253196</v>
      </c>
      <c r="L45" s="7">
        <f>J45*C5*6</f>
        <v>2665.6858054506392</v>
      </c>
      <c r="M45" s="7">
        <f>J45*C5*9</f>
        <v>3998.528708175959</v>
      </c>
      <c r="N45" s="7">
        <f>J45*C5*12</f>
        <v>5331.3716109012785</v>
      </c>
      <c r="O45" s="36"/>
    </row>
    <row r="46" spans="2:15" ht="89.25">
      <c r="B46" s="1" t="s">
        <v>80</v>
      </c>
      <c r="C46" s="29" t="s">
        <v>129</v>
      </c>
      <c r="D46" s="1" t="s">
        <v>536</v>
      </c>
      <c r="E46" s="1"/>
      <c r="F46" s="1">
        <v>111512.16</v>
      </c>
      <c r="G46" s="1">
        <v>77867.8</v>
      </c>
      <c r="H46" s="1">
        <v>33644.4</v>
      </c>
      <c r="I46" s="1">
        <f>H46/H43*C5</f>
        <v>3132.8407829151515</v>
      </c>
      <c r="J46" s="30">
        <f>I46/C5/12</f>
        <v>0.06561033028647918</v>
      </c>
      <c r="K46" s="42">
        <f>J46*C5*3</f>
        <v>783.210195728788</v>
      </c>
      <c r="L46" s="7">
        <f>J46*C5*6</f>
        <v>1566.420391457576</v>
      </c>
      <c r="M46" s="7">
        <f>J46*C5*9</f>
        <v>2349.630587186364</v>
      </c>
      <c r="N46" s="7">
        <f>J46*C5*12</f>
        <v>3132.840782915152</v>
      </c>
      <c r="O46" s="36"/>
    </row>
    <row r="47" spans="2:15" ht="12.75">
      <c r="B47" s="1"/>
      <c r="C47" s="3"/>
      <c r="D47" s="1"/>
      <c r="E47" s="1"/>
      <c r="F47" s="1"/>
      <c r="G47" s="1"/>
      <c r="H47" s="1"/>
      <c r="I47" s="1"/>
      <c r="J47" s="30"/>
      <c r="K47" s="42"/>
      <c r="L47" s="7"/>
      <c r="M47" s="7"/>
      <c r="N47" s="7"/>
      <c r="O47" s="36"/>
    </row>
    <row r="48" spans="2:15" ht="12.75">
      <c r="B48" s="1"/>
      <c r="C48" s="4" t="s">
        <v>250</v>
      </c>
      <c r="D48" s="1" t="s">
        <v>71</v>
      </c>
      <c r="E48" s="1"/>
      <c r="F48" s="1"/>
      <c r="G48" s="1"/>
      <c r="H48" s="1"/>
      <c r="I48" s="1"/>
      <c r="J48" s="30"/>
      <c r="K48" s="42"/>
      <c r="L48" s="7"/>
      <c r="M48" s="7"/>
      <c r="N48" s="7"/>
      <c r="O48" s="36"/>
    </row>
    <row r="49" spans="2:15" ht="12.75">
      <c r="B49" s="1"/>
      <c r="C49" s="4" t="s">
        <v>60</v>
      </c>
      <c r="D49" s="2"/>
      <c r="E49" s="2"/>
      <c r="F49" s="2">
        <v>859417.1</v>
      </c>
      <c r="G49" s="2">
        <v>600121.9</v>
      </c>
      <c r="H49" s="2">
        <v>259295.1</v>
      </c>
      <c r="I49" s="2">
        <f aca="true" t="shared" si="2" ref="I49:N49">SUM(I44:I48)</f>
        <v>24144.62784969789</v>
      </c>
      <c r="J49" s="31">
        <f t="shared" si="2"/>
        <v>0.5056551282471307</v>
      </c>
      <c r="K49" s="43">
        <f t="shared" si="2"/>
        <v>6036.156962424472</v>
      </c>
      <c r="L49" s="6">
        <f t="shared" si="2"/>
        <v>12072.313924848944</v>
      </c>
      <c r="M49" s="6">
        <f t="shared" si="2"/>
        <v>18108.47088727342</v>
      </c>
      <c r="N49" s="6">
        <f t="shared" si="2"/>
        <v>24144.62784969789</v>
      </c>
      <c r="O49" s="36"/>
    </row>
    <row r="50" spans="2:15" ht="38.25">
      <c r="B50" s="1" t="s">
        <v>81</v>
      </c>
      <c r="C50" s="4" t="s">
        <v>39</v>
      </c>
      <c r="D50" s="2"/>
      <c r="E50" s="2">
        <v>141634.46</v>
      </c>
      <c r="F50" s="2"/>
      <c r="G50" s="2">
        <v>98901.86</v>
      </c>
      <c r="H50" s="2">
        <v>42732.6</v>
      </c>
      <c r="I50" s="1"/>
      <c r="J50" s="1"/>
      <c r="K50" s="1"/>
      <c r="L50" s="7"/>
      <c r="M50" s="7"/>
      <c r="N50" s="7"/>
      <c r="O50" s="36"/>
    </row>
    <row r="51" spans="2:15" ht="38.25">
      <c r="B51" s="1" t="s">
        <v>82</v>
      </c>
      <c r="C51" s="3" t="s">
        <v>433</v>
      </c>
      <c r="D51" s="1" t="s">
        <v>51</v>
      </c>
      <c r="E51" s="1"/>
      <c r="F51" s="1">
        <v>667518.8</v>
      </c>
      <c r="G51" s="1">
        <v>466121.4</v>
      </c>
      <c r="H51" s="1">
        <v>201397.4</v>
      </c>
      <c r="I51" s="1">
        <f>H51/H50*C5</f>
        <v>18753.37317036642</v>
      </c>
      <c r="J51" s="30">
        <f>I51/C5/12</f>
        <v>0.3927473794402088</v>
      </c>
      <c r="K51" s="42">
        <f>J51*C5*3</f>
        <v>4688.343292591605</v>
      </c>
      <c r="L51" s="7">
        <f>J51*C5*6</f>
        <v>9376.68658518321</v>
      </c>
      <c r="M51" s="7">
        <f>J51*C5*9</f>
        <v>14065.029877774814</v>
      </c>
      <c r="N51" s="7">
        <f>J51*C5*12</f>
        <v>18753.37317036642</v>
      </c>
      <c r="O51" s="36"/>
    </row>
    <row r="52" spans="2:15" ht="38.25">
      <c r="B52" s="1" t="s">
        <v>84</v>
      </c>
      <c r="C52" s="3" t="s">
        <v>387</v>
      </c>
      <c r="D52" s="1" t="s">
        <v>53</v>
      </c>
      <c r="E52" s="1"/>
      <c r="F52" s="1">
        <v>226956</v>
      </c>
      <c r="G52" s="1">
        <v>158481.3</v>
      </c>
      <c r="H52" s="1">
        <v>68475.1</v>
      </c>
      <c r="I52" s="1">
        <f>H52/H50*C5</f>
        <v>6376.145388064382</v>
      </c>
      <c r="J52" s="30">
        <f>I52/C5/12</f>
        <v>0.1335340778078875</v>
      </c>
      <c r="K52" s="42">
        <f>J52*C5*3</f>
        <v>1594.0363470160955</v>
      </c>
      <c r="L52" s="7">
        <f>J52*C5*6</f>
        <v>3188.072694032191</v>
      </c>
      <c r="M52" s="7">
        <f>J52*C5*9</f>
        <v>4782.109041048287</v>
      </c>
      <c r="N52" s="7">
        <f>J52*C5*12</f>
        <v>6376.145388064382</v>
      </c>
      <c r="O52" s="36"/>
    </row>
    <row r="53" spans="2:15" ht="76.5">
      <c r="B53" s="1" t="s">
        <v>86</v>
      </c>
      <c r="C53" s="3" t="s">
        <v>466</v>
      </c>
      <c r="D53" s="1" t="s">
        <v>536</v>
      </c>
      <c r="E53" s="1"/>
      <c r="F53" s="1">
        <v>446048.65</v>
      </c>
      <c r="G53" s="1">
        <v>311471.1</v>
      </c>
      <c r="H53" s="1">
        <v>134577.5</v>
      </c>
      <c r="I53" s="1">
        <f>H53/H50*C5</f>
        <v>12531.353820034354</v>
      </c>
      <c r="J53" s="30">
        <f>I53/C5/12</f>
        <v>0.2624411261347699</v>
      </c>
      <c r="K53" s="42">
        <f>J53*C5*3</f>
        <v>3132.8384550085884</v>
      </c>
      <c r="L53" s="7">
        <f>J53*C5*6</f>
        <v>6265.676910017177</v>
      </c>
      <c r="M53" s="7">
        <f>J53*C5*9</f>
        <v>9398.515365025765</v>
      </c>
      <c r="N53" s="7">
        <f>J53*C5*12</f>
        <v>12531.353820034354</v>
      </c>
      <c r="O53" s="36"/>
    </row>
    <row r="54" spans="2:15" ht="25.5">
      <c r="B54" s="1" t="s">
        <v>88</v>
      </c>
      <c r="C54" s="3" t="s">
        <v>130</v>
      </c>
      <c r="D54" s="1"/>
      <c r="E54" s="1"/>
      <c r="F54" s="1"/>
      <c r="G54" s="1"/>
      <c r="H54" s="1"/>
      <c r="I54" s="1"/>
      <c r="J54" s="30"/>
      <c r="K54" s="42"/>
      <c r="L54" s="7"/>
      <c r="M54" s="7"/>
      <c r="N54" s="7"/>
      <c r="O54" s="36"/>
    </row>
    <row r="55" spans="2:15" ht="38.25">
      <c r="B55" s="1" t="s">
        <v>89</v>
      </c>
      <c r="C55" s="3" t="s">
        <v>90</v>
      </c>
      <c r="D55" s="1" t="s">
        <v>71</v>
      </c>
      <c r="E55" s="1"/>
      <c r="F55" s="1"/>
      <c r="G55" s="1"/>
      <c r="H55" s="1"/>
      <c r="I55" s="1"/>
      <c r="J55" s="30"/>
      <c r="K55" s="42"/>
      <c r="L55" s="7"/>
      <c r="M55" s="7"/>
      <c r="N55" s="7"/>
      <c r="O55" s="36"/>
    </row>
    <row r="56" spans="2:15" ht="63.75">
      <c r="B56" s="1" t="s">
        <v>91</v>
      </c>
      <c r="C56" s="3" t="s">
        <v>92</v>
      </c>
      <c r="D56" s="1"/>
      <c r="E56" s="1"/>
      <c r="F56" s="1"/>
      <c r="G56" s="1"/>
      <c r="H56" s="1"/>
      <c r="I56" s="1"/>
      <c r="J56" s="30"/>
      <c r="K56" s="42"/>
      <c r="L56" s="7"/>
      <c r="M56" s="7"/>
      <c r="N56" s="7"/>
      <c r="O56" s="36"/>
    </row>
    <row r="57" spans="2:15" ht="25.5">
      <c r="B57" s="1" t="s">
        <v>93</v>
      </c>
      <c r="C57" s="4" t="s">
        <v>188</v>
      </c>
      <c r="D57" s="1"/>
      <c r="E57" s="1"/>
      <c r="F57" s="1"/>
      <c r="G57" s="1"/>
      <c r="H57" s="1"/>
      <c r="I57" s="1"/>
      <c r="J57" s="30"/>
      <c r="K57" s="42"/>
      <c r="L57" s="7"/>
      <c r="M57" s="7"/>
      <c r="N57" s="7"/>
      <c r="O57" s="36"/>
    </row>
    <row r="58" spans="2:15" ht="12.75">
      <c r="B58" s="1"/>
      <c r="C58" s="4" t="s">
        <v>60</v>
      </c>
      <c r="D58" s="2"/>
      <c r="E58" s="2"/>
      <c r="F58" s="2">
        <v>1340523.8</v>
      </c>
      <c r="G58" s="2">
        <v>936073.8</v>
      </c>
      <c r="H58" s="2">
        <v>404450.1</v>
      </c>
      <c r="I58" s="2">
        <f aca="true" t="shared" si="3" ref="I58:N58">SUM(I51:I57)</f>
        <v>37660.87237846515</v>
      </c>
      <c r="J58" s="31">
        <f t="shared" si="3"/>
        <v>0.7887225833828662</v>
      </c>
      <c r="K58" s="43">
        <f t="shared" si="3"/>
        <v>9415.218094616288</v>
      </c>
      <c r="L58" s="6">
        <f t="shared" si="3"/>
        <v>18830.436189232576</v>
      </c>
      <c r="M58" s="6">
        <f t="shared" si="3"/>
        <v>28245.654283848868</v>
      </c>
      <c r="N58" s="6">
        <f t="shared" si="3"/>
        <v>37660.87237846515</v>
      </c>
      <c r="O58" s="36"/>
    </row>
    <row r="59" spans="2:15" ht="38.25">
      <c r="B59" s="1" t="s">
        <v>95</v>
      </c>
      <c r="C59" s="4" t="s">
        <v>481</v>
      </c>
      <c r="D59" s="2"/>
      <c r="E59" s="2">
        <v>141634.46</v>
      </c>
      <c r="F59" s="2"/>
      <c r="G59" s="2">
        <v>98901.86</v>
      </c>
      <c r="H59" s="2">
        <v>42732.6</v>
      </c>
      <c r="I59" s="1"/>
      <c r="J59" s="1"/>
      <c r="K59" s="1"/>
      <c r="L59" s="7"/>
      <c r="M59" s="7"/>
      <c r="N59" s="7"/>
      <c r="O59" s="36"/>
    </row>
    <row r="60" spans="2:15" ht="63.75">
      <c r="B60" s="1" t="s">
        <v>96</v>
      </c>
      <c r="C60" s="3" t="s">
        <v>214</v>
      </c>
      <c r="D60" s="1" t="s">
        <v>51</v>
      </c>
      <c r="E60" s="1"/>
      <c r="F60" s="1">
        <v>3033160.58</v>
      </c>
      <c r="G60" s="1">
        <v>2118024.3</v>
      </c>
      <c r="H60" s="1">
        <v>915136.3</v>
      </c>
      <c r="I60" s="1">
        <f>H60/H59*C5</f>
        <v>85214.0719574751</v>
      </c>
      <c r="J60" s="30">
        <f>I60/C5/12</f>
        <v>1.7846177937530914</v>
      </c>
      <c r="K60" s="42">
        <f>J60*C5*3</f>
        <v>21303.51798936878</v>
      </c>
      <c r="L60" s="7">
        <f>J60*C5*6</f>
        <v>42607.03597873756</v>
      </c>
      <c r="M60" s="7">
        <f>J60*C5*9</f>
        <v>63910.55396810633</v>
      </c>
      <c r="N60" s="7">
        <f>J60*C5*12</f>
        <v>85214.07195747511</v>
      </c>
      <c r="O60" s="36"/>
    </row>
    <row r="61" spans="2:15" ht="63.75">
      <c r="B61" s="1" t="s">
        <v>98</v>
      </c>
      <c r="C61" s="4" t="s">
        <v>157</v>
      </c>
      <c r="D61" s="1" t="s">
        <v>53</v>
      </c>
      <c r="E61" s="1"/>
      <c r="F61" s="1">
        <v>1031274.6</v>
      </c>
      <c r="G61" s="1">
        <v>720128.3</v>
      </c>
      <c r="H61" s="1">
        <v>311146.3</v>
      </c>
      <c r="I61" s="1">
        <f>H61/H59*C5</f>
        <v>28972.780554658504</v>
      </c>
      <c r="J61" s="30">
        <f>I61/C5/12</f>
        <v>0.6067699679713693</v>
      </c>
      <c r="K61" s="42">
        <f>J61*C5*3</f>
        <v>7243.195138664627</v>
      </c>
      <c r="L61" s="7">
        <f>J61*C5*6</f>
        <v>14486.390277329254</v>
      </c>
      <c r="M61" s="7">
        <f>J61*C5*9</f>
        <v>21729.585415993883</v>
      </c>
      <c r="N61" s="7">
        <f>J61*C5*12</f>
        <v>28972.780554658508</v>
      </c>
      <c r="O61" s="36"/>
    </row>
    <row r="62" spans="2:15" ht="12.75">
      <c r="B62" s="1" t="s">
        <v>100</v>
      </c>
      <c r="C62" s="3" t="s">
        <v>101</v>
      </c>
      <c r="D62" s="1" t="s">
        <v>536</v>
      </c>
      <c r="E62" s="1"/>
      <c r="F62" s="1">
        <v>719534.71</v>
      </c>
      <c r="G62" s="1">
        <v>502443.6</v>
      </c>
      <c r="H62" s="1">
        <v>217091.2</v>
      </c>
      <c r="I62" s="1">
        <f>H62/H59*C5</f>
        <v>20214.721171190147</v>
      </c>
      <c r="J62" s="30">
        <f>I62/C5/12</f>
        <v>0.423352038802538</v>
      </c>
      <c r="K62" s="42">
        <f>J62*C5*3</f>
        <v>5053.680292797537</v>
      </c>
      <c r="L62" s="7">
        <f>J62*C5*6</f>
        <v>10107.360585595074</v>
      </c>
      <c r="M62" s="7">
        <f>J62*C5*9</f>
        <v>15161.04087839261</v>
      </c>
      <c r="N62" s="7">
        <f>J62*C5*12</f>
        <v>20214.721171190147</v>
      </c>
      <c r="O62" s="36"/>
    </row>
    <row r="63" spans="2:15" ht="25.5">
      <c r="B63" s="1" t="s">
        <v>102</v>
      </c>
      <c r="C63" s="3" t="s">
        <v>158</v>
      </c>
      <c r="D63" s="1"/>
      <c r="E63" s="1"/>
      <c r="F63" s="1"/>
      <c r="G63" s="1"/>
      <c r="H63" s="1"/>
      <c r="I63" s="1"/>
      <c r="J63" s="30"/>
      <c r="K63" s="42"/>
      <c r="L63" s="7"/>
      <c r="M63" s="7"/>
      <c r="N63" s="7"/>
      <c r="O63" s="36"/>
    </row>
    <row r="64" spans="2:15" ht="63.75">
      <c r="B64" s="1" t="s">
        <v>104</v>
      </c>
      <c r="C64" s="4" t="s">
        <v>399</v>
      </c>
      <c r="D64" s="1" t="s">
        <v>71</v>
      </c>
      <c r="E64" s="1"/>
      <c r="F64" s="1"/>
      <c r="G64" s="1"/>
      <c r="H64" s="1"/>
      <c r="I64" s="1"/>
      <c r="J64" s="30"/>
      <c r="K64" s="42"/>
      <c r="L64" s="7"/>
      <c r="M64" s="7"/>
      <c r="N64" s="7"/>
      <c r="O64" s="36"/>
    </row>
    <row r="65" spans="2:15" ht="38.25">
      <c r="B65" s="1" t="s">
        <v>105</v>
      </c>
      <c r="C65" s="3" t="s">
        <v>106</v>
      </c>
      <c r="D65" s="3" t="s">
        <v>107</v>
      </c>
      <c r="E65" s="3" t="s">
        <v>108</v>
      </c>
      <c r="F65" s="1">
        <v>71968.71</v>
      </c>
      <c r="G65" s="1">
        <v>32713.05</v>
      </c>
      <c r="H65" s="1">
        <v>39255.66</v>
      </c>
      <c r="I65" s="1">
        <f>H65/6*C12</f>
        <v>0</v>
      </c>
      <c r="J65" s="30">
        <f>I65/C5/12</f>
        <v>0</v>
      </c>
      <c r="K65" s="42">
        <f>J65*C5*3</f>
        <v>0</v>
      </c>
      <c r="L65" s="7"/>
      <c r="M65" s="7">
        <f>J65*C5*9</f>
        <v>0</v>
      </c>
      <c r="N65" s="7"/>
      <c r="O65" s="36"/>
    </row>
    <row r="66" spans="2:15" ht="12.75">
      <c r="B66" s="1"/>
      <c r="C66" s="4" t="s">
        <v>60</v>
      </c>
      <c r="D66" s="2"/>
      <c r="E66" s="2"/>
      <c r="F66" s="2">
        <v>4855938.6</v>
      </c>
      <c r="G66" s="2">
        <v>3373309.1</v>
      </c>
      <c r="H66" s="2">
        <v>1482629.5</v>
      </c>
      <c r="I66" s="2">
        <f aca="true" t="shared" si="4" ref="I66:N66">SUM(I60:I65)</f>
        <v>134401.57368332375</v>
      </c>
      <c r="J66" s="31">
        <f t="shared" si="4"/>
        <v>2.814739800526999</v>
      </c>
      <c r="K66" s="43">
        <f t="shared" si="4"/>
        <v>33600.393420830944</v>
      </c>
      <c r="L66" s="6">
        <f t="shared" si="4"/>
        <v>67200.78684166189</v>
      </c>
      <c r="M66" s="6">
        <f t="shared" si="4"/>
        <v>100801.18026249282</v>
      </c>
      <c r="N66" s="6">
        <f t="shared" si="4"/>
        <v>134401.57368332378</v>
      </c>
      <c r="O66" s="36"/>
    </row>
    <row r="67" spans="2:15" ht="12.75">
      <c r="B67" s="1" t="s">
        <v>109</v>
      </c>
      <c r="C67" s="4" t="s">
        <v>482</v>
      </c>
      <c r="D67" s="2"/>
      <c r="E67" s="2">
        <v>141634.46</v>
      </c>
      <c r="F67" s="2"/>
      <c r="G67" s="2">
        <v>98901.86</v>
      </c>
      <c r="H67" s="2">
        <v>42732.6</v>
      </c>
      <c r="I67" s="1"/>
      <c r="J67" s="1"/>
      <c r="K67" s="1"/>
      <c r="L67" s="7"/>
      <c r="M67" s="7"/>
      <c r="N67" s="7"/>
      <c r="O67" s="36"/>
    </row>
    <row r="68" spans="2:15" ht="51">
      <c r="B68" s="1" t="s">
        <v>110</v>
      </c>
      <c r="C68" s="3" t="s">
        <v>483</v>
      </c>
      <c r="D68" s="1" t="s">
        <v>111</v>
      </c>
      <c r="E68" s="1"/>
      <c r="F68" s="1">
        <v>277923.9</v>
      </c>
      <c r="G68" s="1">
        <v>194071.3</v>
      </c>
      <c r="H68" s="1">
        <v>83852.6</v>
      </c>
      <c r="I68" s="1">
        <f>H68/H67*C5</f>
        <v>7808.040715051273</v>
      </c>
      <c r="J68" s="30">
        <f>I68/C5/12</f>
        <v>0.16352191691277077</v>
      </c>
      <c r="K68" s="42">
        <f>J68*C5*3</f>
        <v>1952.0101787628184</v>
      </c>
      <c r="L68" s="7">
        <f>J68*C5*6</f>
        <v>3904.020357525637</v>
      </c>
      <c r="M68" s="7">
        <f>J68*C5*9</f>
        <v>5856.030536288456</v>
      </c>
      <c r="N68" s="7">
        <f>J68*C5*12</f>
        <v>7808.040715051274</v>
      </c>
      <c r="O68" s="36"/>
    </row>
    <row r="69" spans="2:15" ht="12.75">
      <c r="B69" s="1"/>
      <c r="C69" s="3"/>
      <c r="D69" s="1" t="s">
        <v>53</v>
      </c>
      <c r="E69" s="1"/>
      <c r="F69" s="1">
        <v>94494.1</v>
      </c>
      <c r="G69" s="1">
        <v>65984.3</v>
      </c>
      <c r="H69" s="1">
        <v>28509.9</v>
      </c>
      <c r="I69" s="1">
        <f>H69/H67*C5</f>
        <v>2654.7353329776333</v>
      </c>
      <c r="J69" s="30">
        <f>I69/C5/12</f>
        <v>0.05559748295212555</v>
      </c>
      <c r="K69" s="42">
        <f>J69*C5*3</f>
        <v>663.6838332444083</v>
      </c>
      <c r="L69" s="7">
        <f>J69*C5*6</f>
        <v>1327.3676664888167</v>
      </c>
      <c r="M69" s="7">
        <f>J69*C5*9</f>
        <v>1991.051499733225</v>
      </c>
      <c r="N69" s="7">
        <f>J69*C5*12</f>
        <v>2654.7353329776333</v>
      </c>
      <c r="O69" s="36"/>
    </row>
    <row r="70" spans="2:15" ht="12.75">
      <c r="B70" s="1"/>
      <c r="C70" s="3"/>
      <c r="D70" s="1" t="s">
        <v>536</v>
      </c>
      <c r="E70" s="1"/>
      <c r="F70" s="1">
        <v>79948</v>
      </c>
      <c r="G70" s="1">
        <v>55826.9</v>
      </c>
      <c r="H70" s="1">
        <v>24121.1</v>
      </c>
      <c r="I70" s="1">
        <f>H70/H67*C5</f>
        <v>2246.066680005429</v>
      </c>
      <c r="J70" s="30">
        <f>I70/C5/12</f>
        <v>0.04703883373973656</v>
      </c>
      <c r="K70" s="42">
        <f>J70*C5*3</f>
        <v>561.5166700013572</v>
      </c>
      <c r="L70" s="7">
        <f>J70*C5*6</f>
        <v>1123.0333400027143</v>
      </c>
      <c r="M70" s="7">
        <f>J70*C5*9</f>
        <v>1684.5500100040715</v>
      </c>
      <c r="N70" s="7">
        <f>J70*C5*12</f>
        <v>2246.0666800054287</v>
      </c>
      <c r="O70" s="36"/>
    </row>
    <row r="71" spans="2:15" ht="25.5">
      <c r="B71" s="1"/>
      <c r="C71" s="3"/>
      <c r="D71" s="3" t="s">
        <v>112</v>
      </c>
      <c r="E71" s="1"/>
      <c r="F71" s="1">
        <v>882609.2</v>
      </c>
      <c r="G71" s="1">
        <v>344178.5</v>
      </c>
      <c r="H71" s="1">
        <v>538430.8</v>
      </c>
      <c r="I71" s="1">
        <f>H71/H67*C5</f>
        <v>50136.663724650505</v>
      </c>
      <c r="J71" s="30">
        <f>I71/C5/12</f>
        <v>1.050000078004459</v>
      </c>
      <c r="K71" s="42">
        <f>J71*C5*3</f>
        <v>12534.165931162628</v>
      </c>
      <c r="L71" s="7">
        <f>J71*C5*6</f>
        <v>25068.331862325256</v>
      </c>
      <c r="M71" s="7">
        <f>J71*C5*9</f>
        <v>37602.497793487884</v>
      </c>
      <c r="N71" s="7">
        <f>J71*C5*12</f>
        <v>50136.66372465051</v>
      </c>
      <c r="O71" s="36"/>
    </row>
    <row r="72" spans="2:15" ht="12.75">
      <c r="B72" s="1"/>
      <c r="C72" s="3"/>
      <c r="D72" s="1"/>
      <c r="E72" s="1"/>
      <c r="F72" s="1"/>
      <c r="G72" s="1"/>
      <c r="H72" s="1"/>
      <c r="I72" s="1"/>
      <c r="J72" s="30"/>
      <c r="K72" s="42"/>
      <c r="L72" s="7"/>
      <c r="M72" s="7"/>
      <c r="N72" s="7"/>
      <c r="O72" s="36"/>
    </row>
    <row r="73" spans="2:15" ht="12.75">
      <c r="B73" s="1"/>
      <c r="C73" s="4" t="s">
        <v>60</v>
      </c>
      <c r="D73" s="2"/>
      <c r="E73" s="2"/>
      <c r="F73" s="2">
        <v>1334975.3</v>
      </c>
      <c r="G73" s="2">
        <v>660060.9</v>
      </c>
      <c r="H73" s="2">
        <v>674914.3</v>
      </c>
      <c r="I73" s="2">
        <f aca="true" t="shared" si="5" ref="I73:N73">SUM(I68:I72)</f>
        <v>62845.506452684844</v>
      </c>
      <c r="J73" s="31">
        <f t="shared" si="5"/>
        <v>1.3161583116090918</v>
      </c>
      <c r="K73" s="43">
        <f t="shared" si="5"/>
        <v>15711.376613171211</v>
      </c>
      <c r="L73" s="6">
        <f t="shared" si="5"/>
        <v>31422.753226342422</v>
      </c>
      <c r="M73" s="6">
        <f t="shared" si="5"/>
        <v>47134.12983951364</v>
      </c>
      <c r="N73" s="6">
        <f t="shared" si="5"/>
        <v>62845.506452684844</v>
      </c>
      <c r="O73" s="36"/>
    </row>
    <row r="74" spans="2:15" ht="12.75">
      <c r="B74" s="1" t="s">
        <v>113</v>
      </c>
      <c r="C74" s="4" t="s">
        <v>484</v>
      </c>
      <c r="D74" s="2"/>
      <c r="E74" s="2">
        <v>15</v>
      </c>
      <c r="F74" s="2">
        <v>1600212</v>
      </c>
      <c r="G74" s="2"/>
      <c r="H74" s="2">
        <v>1600212</v>
      </c>
      <c r="I74" s="2">
        <f>I75+I76</f>
        <v>145157.568</v>
      </c>
      <c r="J74" s="31">
        <f>J75+J76</f>
        <v>3.0400000000000005</v>
      </c>
      <c r="K74" s="2">
        <f>J74*C5*3</f>
        <v>36289.39200000001</v>
      </c>
      <c r="L74" s="6">
        <f>J74*C5*6</f>
        <v>72578.78400000001</v>
      </c>
      <c r="M74" s="6">
        <f>J74*C5*9</f>
        <v>108868.17600000002</v>
      </c>
      <c r="N74" s="6">
        <f>J74*C5*12</f>
        <v>145157.56800000003</v>
      </c>
      <c r="O74" s="36"/>
    </row>
    <row r="75" spans="2:15" ht="12.75">
      <c r="B75" s="1"/>
      <c r="C75" s="3" t="s">
        <v>114</v>
      </c>
      <c r="D75" s="1"/>
      <c r="E75" s="1"/>
      <c r="F75" s="1">
        <v>1431000</v>
      </c>
      <c r="G75" s="1"/>
      <c r="H75" s="1">
        <v>1431000</v>
      </c>
      <c r="I75" s="1">
        <f>2.79*C5*12</f>
        <v>133220.268</v>
      </c>
      <c r="J75" s="30">
        <f>I75/C5/12</f>
        <v>2.7900000000000005</v>
      </c>
      <c r="K75" s="1">
        <f>J75*C5*3</f>
        <v>33305.06700000001</v>
      </c>
      <c r="L75" s="7">
        <f>J75*C5*6</f>
        <v>66610.13400000002</v>
      </c>
      <c r="M75" s="7">
        <f>J75*C5*9</f>
        <v>99915.20100000002</v>
      </c>
      <c r="N75" s="7">
        <f>J75*C5*12</f>
        <v>133220.26800000004</v>
      </c>
      <c r="O75" s="36"/>
    </row>
    <row r="76" spans="2:15" ht="12.75">
      <c r="B76" s="1"/>
      <c r="C76" s="3" t="s">
        <v>115</v>
      </c>
      <c r="D76" s="1"/>
      <c r="E76" s="1"/>
      <c r="F76" s="1">
        <v>169212</v>
      </c>
      <c r="G76" s="1"/>
      <c r="H76" s="1">
        <v>169212</v>
      </c>
      <c r="I76" s="1">
        <f>0.25*C5*12</f>
        <v>11937.3</v>
      </c>
      <c r="J76" s="30">
        <f>I76/C5/12</f>
        <v>0.25</v>
      </c>
      <c r="K76" s="1">
        <f>J76*C5*3</f>
        <v>2984.325</v>
      </c>
      <c r="L76" s="7">
        <f>J76*C5*6</f>
        <v>5968.65</v>
      </c>
      <c r="M76" s="7">
        <f>J76*C5*9</f>
        <v>8952.975</v>
      </c>
      <c r="N76" s="7">
        <f>J76*C5*12</f>
        <v>11937.3</v>
      </c>
      <c r="O76" s="36"/>
    </row>
    <row r="77" spans="2:15" ht="12.75">
      <c r="B77" s="1" t="s">
        <v>116</v>
      </c>
      <c r="C77" s="3" t="s">
        <v>485</v>
      </c>
      <c r="D77" s="1"/>
      <c r="E77" s="1"/>
      <c r="F77" s="1"/>
      <c r="G77" s="1"/>
      <c r="H77" s="1"/>
      <c r="I77" s="1"/>
      <c r="J77" s="1"/>
      <c r="K77" s="1"/>
      <c r="L77" s="7"/>
      <c r="M77" s="7"/>
      <c r="N77" s="7"/>
      <c r="O77" s="36"/>
    </row>
    <row r="78" spans="2:15" ht="12.75">
      <c r="B78" s="1"/>
      <c r="C78" s="3"/>
      <c r="D78" s="1"/>
      <c r="E78" s="1"/>
      <c r="F78" s="1"/>
      <c r="G78" s="1"/>
      <c r="H78" s="1"/>
      <c r="I78" s="1"/>
      <c r="J78" s="1"/>
      <c r="K78" s="1"/>
      <c r="L78" s="7"/>
      <c r="M78" s="7"/>
      <c r="N78" s="7"/>
      <c r="O78" s="36"/>
    </row>
    <row r="79" spans="2:15" ht="12.75">
      <c r="B79" s="2" t="s">
        <v>117</v>
      </c>
      <c r="C79" s="4"/>
      <c r="D79" s="2"/>
      <c r="E79" s="2"/>
      <c r="F79" s="2">
        <v>19547580.6</v>
      </c>
      <c r="G79" s="2">
        <v>11502035</v>
      </c>
      <c r="H79" s="2">
        <v>8045545.6</v>
      </c>
      <c r="I79" s="2">
        <f>I32+I41+I42+I49+I58+I66+I73+I74</f>
        <v>769994.2641445302</v>
      </c>
      <c r="J79" s="31">
        <f>J32+J41+J42+J49+J58+J66+J73+J74</f>
        <v>16.125804498180706</v>
      </c>
      <c r="K79" s="43">
        <f>J79*C5*3</f>
        <v>192498.56603613254</v>
      </c>
      <c r="L79" s="6">
        <f>L32+L41+L42+L49+L58+L66+L73+L74</f>
        <v>384997.13207226514</v>
      </c>
      <c r="M79" s="6">
        <f>M32+M41+M42+M49+M58+M66+M73+M74</f>
        <v>577495.6981083978</v>
      </c>
      <c r="N79" s="6">
        <f>N32+N41+N42+N49+N58+N66+N73+N74</f>
        <v>769994.2641445303</v>
      </c>
      <c r="O79" s="36"/>
    </row>
    <row r="80" spans="2:15" ht="12.75">
      <c r="B80" s="1"/>
      <c r="C80" s="3" t="s">
        <v>118</v>
      </c>
      <c r="D80" s="1"/>
      <c r="E80" s="1"/>
      <c r="F80" s="1">
        <v>1724360</v>
      </c>
      <c r="G80" s="1">
        <v>1204102.5</v>
      </c>
      <c r="H80" s="1">
        <v>520257.5</v>
      </c>
      <c r="I80" s="1">
        <f>H80/H79*I79</f>
        <v>49790.94157121835</v>
      </c>
      <c r="J80" s="30">
        <f>I80/C5/12</f>
        <v>1.0427597021775934</v>
      </c>
      <c r="K80" s="42">
        <f>J80*C5*3</f>
        <v>12447.735392804585</v>
      </c>
      <c r="L80" s="7">
        <f>J80*C5*6</f>
        <v>24895.47078560917</v>
      </c>
      <c r="M80" s="7">
        <f>J80*C5*9</f>
        <v>37343.206178413755</v>
      </c>
      <c r="N80" s="7">
        <f>J80*C5*12</f>
        <v>49790.94157121834</v>
      </c>
      <c r="O80" s="36"/>
    </row>
    <row r="81" spans="2:15" ht="25.5">
      <c r="B81" s="1"/>
      <c r="C81" s="3" t="s">
        <v>119</v>
      </c>
      <c r="D81" s="1"/>
      <c r="E81" s="1"/>
      <c r="F81" s="1">
        <v>5396925.11</v>
      </c>
      <c r="G81" s="1">
        <v>3223686.7</v>
      </c>
      <c r="H81" s="1">
        <v>2173238.4</v>
      </c>
      <c r="I81" s="1">
        <f>H81/(H79+H80)*(I79+I80)</f>
        <v>207988.51759893526</v>
      </c>
      <c r="J81" s="30">
        <f>I81/C5/12</f>
        <v>4.355853450925571</v>
      </c>
      <c r="K81" s="42">
        <f>C5*3</f>
        <v>11937.3</v>
      </c>
      <c r="L81" s="7">
        <f>J81*C5*6</f>
        <v>103994.25879946764</v>
      </c>
      <c r="M81" s="7">
        <f>J81*C5*9</f>
        <v>155991.38819920146</v>
      </c>
      <c r="N81" s="7">
        <f>J81*C5*12</f>
        <v>207988.5175989353</v>
      </c>
      <c r="O81" s="36"/>
    </row>
    <row r="82" spans="2:15" ht="12.75">
      <c r="B82" s="2" t="s">
        <v>590</v>
      </c>
      <c r="C82" s="4"/>
      <c r="D82" s="2"/>
      <c r="E82" s="2"/>
      <c r="F82" s="2">
        <v>26668865.67</v>
      </c>
      <c r="G82" s="2">
        <v>15929824.3</v>
      </c>
      <c r="H82" s="2">
        <v>10739041.4</v>
      </c>
      <c r="I82" s="2">
        <f>I79+I80+I81</f>
        <v>1027773.7233146838</v>
      </c>
      <c r="J82" s="31">
        <f>J79+J80+J81</f>
        <v>21.524417651283873</v>
      </c>
      <c r="K82" s="43">
        <f>J82*C5*3</f>
        <v>256943.43082867097</v>
      </c>
      <c r="L82" s="6">
        <f>SUM(L79:L81)</f>
        <v>513886.86165734194</v>
      </c>
      <c r="M82" s="6">
        <f>SUM(M79:M81)</f>
        <v>770830.2924860129</v>
      </c>
      <c r="N82" s="6">
        <f>SUM(N79:N81)</f>
        <v>1027773.7233146839</v>
      </c>
      <c r="O82" s="36"/>
    </row>
    <row r="83" spans="2:15" ht="12.75">
      <c r="B83" s="1" t="s">
        <v>120</v>
      </c>
      <c r="C83" s="3"/>
      <c r="D83" s="1"/>
      <c r="E83" s="1"/>
      <c r="F83" s="1">
        <v>1333443.28</v>
      </c>
      <c r="G83" s="1">
        <v>796491.2</v>
      </c>
      <c r="H83" s="1">
        <v>536952.07</v>
      </c>
      <c r="I83" s="1"/>
      <c r="J83" s="30"/>
      <c r="K83" s="42"/>
      <c r="L83" s="7"/>
      <c r="M83" s="7"/>
      <c r="N83" s="7"/>
      <c r="O83" s="36"/>
    </row>
    <row r="84" spans="2:15" ht="25.5">
      <c r="B84" s="1"/>
      <c r="C84" s="4" t="s">
        <v>121</v>
      </c>
      <c r="D84" s="2"/>
      <c r="E84" s="2"/>
      <c r="F84" s="2">
        <v>28002308.95</v>
      </c>
      <c r="G84" s="2">
        <v>16726315.5</v>
      </c>
      <c r="H84" s="2">
        <v>11275993.5</v>
      </c>
      <c r="I84" s="2">
        <f>I82+I83</f>
        <v>1027773.7233146838</v>
      </c>
      <c r="J84" s="31">
        <f>J82+J83</f>
        <v>21.524417651283873</v>
      </c>
      <c r="K84" s="2">
        <f>J84*C5*3</f>
        <v>256943.43082867097</v>
      </c>
      <c r="L84" s="6">
        <f>L82+L83</f>
        <v>513886.86165734194</v>
      </c>
      <c r="M84" s="6">
        <f>M82+M83</f>
        <v>770830.2924860129</v>
      </c>
      <c r="N84" s="6">
        <f>N82+N83</f>
        <v>1027773.7233146839</v>
      </c>
      <c r="O84" s="36"/>
    </row>
    <row r="85" spans="2:15" ht="12.75">
      <c r="B85" s="1"/>
      <c r="C85" s="4" t="s">
        <v>193</v>
      </c>
      <c r="D85" s="2"/>
      <c r="E85" s="2"/>
      <c r="F85" s="2"/>
      <c r="G85" s="2"/>
      <c r="H85" s="2"/>
      <c r="I85" s="2"/>
      <c r="J85" s="2"/>
      <c r="K85" s="2"/>
      <c r="L85" s="6">
        <v>9184.92</v>
      </c>
      <c r="M85" s="6">
        <v>9184.92</v>
      </c>
      <c r="N85" s="6">
        <v>9184.92</v>
      </c>
      <c r="O85" s="36"/>
    </row>
    <row r="86" spans="2:15" ht="12.75">
      <c r="B86" s="1"/>
      <c r="C86" s="1" t="s">
        <v>514</v>
      </c>
      <c r="D86" s="1"/>
      <c r="E86" s="1"/>
      <c r="F86" s="1"/>
      <c r="G86" s="1"/>
      <c r="H86" s="1"/>
      <c r="I86" s="1"/>
      <c r="J86" s="1">
        <v>21.68</v>
      </c>
      <c r="K86" s="1"/>
      <c r="L86" s="7"/>
      <c r="M86" s="7"/>
      <c r="N86" s="7"/>
      <c r="O86" s="36"/>
    </row>
    <row r="87" spans="2:15" ht="12.75">
      <c r="B87" s="1"/>
      <c r="C87" s="1"/>
      <c r="D87" s="1"/>
      <c r="E87" s="1"/>
      <c r="F87" s="1"/>
      <c r="G87" s="1"/>
      <c r="H87" s="1"/>
      <c r="I87" s="1"/>
      <c r="J87" s="1">
        <v>2.79</v>
      </c>
      <c r="K87" s="1"/>
      <c r="L87" s="7"/>
      <c r="M87" s="7"/>
      <c r="N87" s="7"/>
      <c r="O87" s="36"/>
    </row>
    <row r="88" spans="2:15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7"/>
      <c r="M88" s="7"/>
      <c r="N88" s="7"/>
      <c r="O88" s="36"/>
    </row>
    <row r="89" spans="2:14" ht="12.75">
      <c r="B89" s="1"/>
      <c r="C89" s="2" t="s">
        <v>231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 t="s">
        <v>219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220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2" t="s">
        <v>221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232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 t="s">
        <v>219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220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2" t="s">
        <v>221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233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 t="s">
        <v>219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220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</sheetData>
  <mergeCells count="16">
    <mergeCell ref="B13:B17"/>
    <mergeCell ref="C13:C17"/>
    <mergeCell ref="D13:D17"/>
    <mergeCell ref="E13:E17"/>
    <mergeCell ref="F13:F17"/>
    <mergeCell ref="G13:H13"/>
    <mergeCell ref="I13:J13"/>
    <mergeCell ref="G14:G17"/>
    <mergeCell ref="H14:H17"/>
    <mergeCell ref="I14:I17"/>
    <mergeCell ref="J14:J17"/>
    <mergeCell ref="K13:N13"/>
    <mergeCell ref="K14:K17"/>
    <mergeCell ref="L14:L17"/>
    <mergeCell ref="M14:M17"/>
    <mergeCell ref="N14:N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M82"/>
  <sheetViews>
    <sheetView workbookViewId="0" topLeftCell="A62">
      <selection activeCell="Q87" sqref="Q87"/>
    </sheetView>
  </sheetViews>
  <sheetFormatPr defaultColWidth="9.140625" defaultRowHeight="12.75"/>
  <cols>
    <col min="3" max="3" width="35.28125" style="0" customWidth="1"/>
    <col min="4" max="4" width="17.28125" style="0" customWidth="1"/>
    <col min="5" max="12" width="0" style="0" hidden="1" customWidth="1"/>
    <col min="13" max="13" width="13.8515625" style="0" customWidth="1"/>
  </cols>
  <sheetData>
    <row r="1" spans="2:3" ht="12.75">
      <c r="B1" s="5" t="s">
        <v>487</v>
      </c>
      <c r="C1" s="5" t="s">
        <v>500</v>
      </c>
    </row>
    <row r="2" spans="2:3" ht="12.75">
      <c r="B2" t="s">
        <v>488</v>
      </c>
      <c r="C2">
        <v>3979.1</v>
      </c>
    </row>
    <row r="3" spans="2:3" ht="12.75">
      <c r="B3" t="s">
        <v>489</v>
      </c>
      <c r="C3">
        <v>2725</v>
      </c>
    </row>
    <row r="4" spans="2:3" ht="12.75">
      <c r="B4" t="s">
        <v>490</v>
      </c>
      <c r="C4">
        <v>625</v>
      </c>
    </row>
    <row r="5" spans="2:3" ht="12.75">
      <c r="B5" t="s">
        <v>491</v>
      </c>
      <c r="C5">
        <v>747.2</v>
      </c>
    </row>
    <row r="6" spans="2:3" ht="12.75">
      <c r="B6" t="s">
        <v>492</v>
      </c>
      <c r="C6">
        <v>2</v>
      </c>
    </row>
    <row r="7" spans="2:3" ht="12.75">
      <c r="B7" t="s">
        <v>493</v>
      </c>
      <c r="C7">
        <v>72</v>
      </c>
    </row>
    <row r="8" spans="2:3" ht="12.75">
      <c r="B8" t="s">
        <v>484</v>
      </c>
      <c r="C8">
        <v>2</v>
      </c>
    </row>
    <row r="10" spans="2:13" ht="12.75">
      <c r="B10" s="74" t="s">
        <v>40</v>
      </c>
      <c r="C10" s="74" t="s">
        <v>22</v>
      </c>
      <c r="D10" s="74" t="s">
        <v>41</v>
      </c>
      <c r="E10" s="74" t="s">
        <v>42</v>
      </c>
      <c r="F10" s="74" t="s">
        <v>43</v>
      </c>
      <c r="G10" s="74" t="s">
        <v>44</v>
      </c>
      <c r="H10" s="74"/>
      <c r="I10" s="79" t="s">
        <v>123</v>
      </c>
      <c r="J10" s="79"/>
      <c r="K10" s="74" t="s">
        <v>314</v>
      </c>
      <c r="L10" s="74"/>
      <c r="M10" s="74"/>
    </row>
    <row r="11" spans="2:13" ht="12.75">
      <c r="B11" s="74"/>
      <c r="C11" s="74"/>
      <c r="D11" s="74"/>
      <c r="E11" s="74"/>
      <c r="F11" s="74"/>
      <c r="G11" s="74" t="s">
        <v>122</v>
      </c>
      <c r="H11" s="74" t="s">
        <v>45</v>
      </c>
      <c r="I11" s="74" t="s">
        <v>124</v>
      </c>
      <c r="J11" s="74" t="s">
        <v>125</v>
      </c>
      <c r="K11" s="82"/>
      <c r="L11" s="82"/>
      <c r="M11" s="82"/>
    </row>
    <row r="12" spans="2:13" ht="12.75">
      <c r="B12" s="74"/>
      <c r="C12" s="74"/>
      <c r="D12" s="74"/>
      <c r="E12" s="74"/>
      <c r="F12" s="74"/>
      <c r="G12" s="74"/>
      <c r="H12" s="74"/>
      <c r="I12" s="74"/>
      <c r="J12" s="74"/>
      <c r="K12" s="82"/>
      <c r="L12" s="82"/>
      <c r="M12" s="82"/>
    </row>
    <row r="13" spans="2:13" ht="12.75">
      <c r="B13" s="74"/>
      <c r="C13" s="74"/>
      <c r="D13" s="74"/>
      <c r="E13" s="74"/>
      <c r="F13" s="74"/>
      <c r="G13" s="74"/>
      <c r="H13" s="74"/>
      <c r="I13" s="74"/>
      <c r="J13" s="74"/>
      <c r="K13" s="82"/>
      <c r="L13" s="82"/>
      <c r="M13" s="82"/>
    </row>
    <row r="14" spans="2:13" ht="12.75">
      <c r="B14" s="74"/>
      <c r="C14" s="74"/>
      <c r="D14" s="74"/>
      <c r="E14" s="74"/>
      <c r="F14" s="74"/>
      <c r="G14" s="74"/>
      <c r="H14" s="74"/>
      <c r="I14" s="74"/>
      <c r="J14" s="74"/>
      <c r="K14" s="82"/>
      <c r="L14" s="82"/>
      <c r="M14" s="82"/>
    </row>
    <row r="15" spans="2:1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2.75" hidden="1">
      <c r="B16" s="1"/>
      <c r="C16" s="4" t="s">
        <v>46</v>
      </c>
      <c r="D16" s="2"/>
      <c r="E16" s="2">
        <v>141634.46</v>
      </c>
      <c r="F16" s="2"/>
      <c r="G16" s="2">
        <v>98901.86</v>
      </c>
      <c r="H16" s="2">
        <v>42732.6</v>
      </c>
      <c r="I16" s="1"/>
      <c r="J16" s="1"/>
      <c r="K16" s="1"/>
      <c r="L16" s="1"/>
      <c r="M16" s="1"/>
    </row>
    <row r="17" spans="2:13" ht="12.75">
      <c r="B17" s="1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2.75">
      <c r="B18" s="1" t="s">
        <v>47</v>
      </c>
      <c r="C18" s="4" t="s">
        <v>23</v>
      </c>
      <c r="D18" s="2"/>
      <c r="E18" s="2"/>
      <c r="F18" s="2"/>
      <c r="G18" s="2"/>
      <c r="H18" s="2"/>
      <c r="I18" s="1"/>
      <c r="J18" s="1"/>
      <c r="K18" s="1"/>
      <c r="L18" s="1"/>
      <c r="M18" s="1"/>
    </row>
    <row r="19" spans="2:13" ht="25.5">
      <c r="B19" s="1" t="s">
        <v>48</v>
      </c>
      <c r="C19" s="4" t="s">
        <v>24</v>
      </c>
      <c r="D19" s="2"/>
      <c r="E19" s="2">
        <v>17784</v>
      </c>
      <c r="F19" s="2"/>
      <c r="G19" s="2">
        <v>10809.7</v>
      </c>
      <c r="H19" s="2">
        <v>6974.3</v>
      </c>
      <c r="I19" s="1"/>
      <c r="J19" s="1"/>
      <c r="K19" s="1"/>
      <c r="L19" s="1"/>
      <c r="M19" s="1"/>
    </row>
    <row r="20" spans="2:13" ht="25.5">
      <c r="B20" s="1" t="s">
        <v>49</v>
      </c>
      <c r="C20" s="3" t="s">
        <v>25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25.5">
      <c r="B21" s="1" t="s">
        <v>50</v>
      </c>
      <c r="C21" s="3" t="s">
        <v>26</v>
      </c>
      <c r="D21" s="1" t="s">
        <v>51</v>
      </c>
      <c r="E21" s="1"/>
      <c r="F21" s="1">
        <v>2343012.48</v>
      </c>
      <c r="G21" s="1">
        <v>1045514.2</v>
      </c>
      <c r="H21" s="1">
        <v>1297498.3</v>
      </c>
      <c r="I21" s="1">
        <f>H21/H19*C5</f>
        <v>139009.0374317136</v>
      </c>
      <c r="J21" s="30">
        <f>I21/C2/12</f>
        <v>2.91123280456455</v>
      </c>
      <c r="K21" s="42">
        <f>J21*C2*3</f>
        <v>34752.2593579284</v>
      </c>
      <c r="L21" s="7">
        <f>J21*C2*6</f>
        <v>69504.5187158568</v>
      </c>
      <c r="M21" s="7">
        <f>J21*C2*9</f>
        <v>104256.77807378522</v>
      </c>
    </row>
    <row r="22" spans="2:13" ht="25.5">
      <c r="B22" s="1" t="s">
        <v>52</v>
      </c>
      <c r="C22" s="3" t="s">
        <v>27</v>
      </c>
      <c r="D22" s="1" t="s">
        <v>53</v>
      </c>
      <c r="E22" s="1"/>
      <c r="F22" s="1">
        <v>796624.2</v>
      </c>
      <c r="G22" s="1">
        <v>355474.8</v>
      </c>
      <c r="H22" s="1">
        <v>441149.4</v>
      </c>
      <c r="I22" s="1">
        <f>H22/H19*C5</f>
        <v>47263.07036978622</v>
      </c>
      <c r="J22" s="30">
        <f>I22/C2/12</f>
        <v>0.9898191041899387</v>
      </c>
      <c r="K22" s="42">
        <f>J22*C2*3</f>
        <v>11815.767592446555</v>
      </c>
      <c r="L22" s="7">
        <f>J22*C2*6</f>
        <v>23631.53518489311</v>
      </c>
      <c r="M22" s="7">
        <f>J22*C2*9</f>
        <v>35447.30277733966</v>
      </c>
    </row>
    <row r="23" spans="2:13" ht="12.75">
      <c r="B23" s="1" t="s">
        <v>54</v>
      </c>
      <c r="C23" s="3" t="s">
        <v>28</v>
      </c>
      <c r="D23" s="1" t="s">
        <v>536</v>
      </c>
      <c r="E23" s="1"/>
      <c r="F23" s="1">
        <v>116909.87</v>
      </c>
      <c r="G23" s="1">
        <v>71061.7</v>
      </c>
      <c r="H23" s="1">
        <v>45848.2</v>
      </c>
      <c r="I23" s="1">
        <f>H23/H19*C5</f>
        <v>4912.001927075118</v>
      </c>
      <c r="J23" s="30">
        <f>I23/C2/12</f>
        <v>0.10287087379631739</v>
      </c>
      <c r="K23" s="42">
        <f>J23*C2*3</f>
        <v>1228.0004817687795</v>
      </c>
      <c r="L23" s="7">
        <f>J23*C2*6</f>
        <v>2456.000963537559</v>
      </c>
      <c r="M23" s="7">
        <f>J23*C2*9</f>
        <v>3684.0014453063386</v>
      </c>
    </row>
    <row r="24" spans="2:13" ht="12.75">
      <c r="B24" s="1" t="s">
        <v>55</v>
      </c>
      <c r="C24" s="3" t="s">
        <v>29</v>
      </c>
      <c r="D24" s="1"/>
      <c r="E24" s="1">
        <v>15</v>
      </c>
      <c r="F24" s="1"/>
      <c r="G24" s="1"/>
      <c r="H24" s="1"/>
      <c r="I24" s="1"/>
      <c r="J24" s="1"/>
      <c r="K24" s="42"/>
      <c r="L24" s="7"/>
      <c r="M24" s="7"/>
    </row>
    <row r="25" spans="2:13" ht="25.5">
      <c r="B25" s="1" t="s">
        <v>56</v>
      </c>
      <c r="C25" s="3" t="s">
        <v>57</v>
      </c>
      <c r="D25" s="3" t="s">
        <v>58</v>
      </c>
      <c r="E25" s="1"/>
      <c r="F25" s="1">
        <v>674</v>
      </c>
      <c r="G25" s="1"/>
      <c r="H25" s="1">
        <v>674</v>
      </c>
      <c r="I25" s="1">
        <f>H25/H19*C5</f>
        <v>72.20979883285777</v>
      </c>
      <c r="J25" s="30">
        <f>I25/C2/12</f>
        <v>0.0015122724324775655</v>
      </c>
      <c r="K25" s="42">
        <f>J25*C2*3</f>
        <v>18.052449708214443</v>
      </c>
      <c r="L25" s="7">
        <f>J25*C2*6</f>
        <v>36.104899416428886</v>
      </c>
      <c r="M25" s="7">
        <f>J25*C2*9</f>
        <v>54.15734912464333</v>
      </c>
    </row>
    <row r="26" spans="2:13" ht="38.25">
      <c r="B26" s="1" t="s">
        <v>59</v>
      </c>
      <c r="C26" s="3" t="s">
        <v>30</v>
      </c>
      <c r="D26" s="1"/>
      <c r="E26" s="1"/>
      <c r="F26" s="1"/>
      <c r="G26" s="1"/>
      <c r="H26" s="1"/>
      <c r="I26" s="1"/>
      <c r="J26" s="1"/>
      <c r="K26" s="42"/>
      <c r="L26" s="7"/>
      <c r="M26" s="7"/>
    </row>
    <row r="27" spans="2:13" ht="12.75">
      <c r="B27" s="1"/>
      <c r="C27" s="4" t="s">
        <v>60</v>
      </c>
      <c r="D27" s="2"/>
      <c r="E27" s="2"/>
      <c r="F27" s="2">
        <v>3257220.6</v>
      </c>
      <c r="G27" s="2">
        <v>1472050.7</v>
      </c>
      <c r="H27" s="2">
        <v>1785169.9</v>
      </c>
      <c r="I27" s="2">
        <f>SUM(I21:I26)</f>
        <v>191256.31952740782</v>
      </c>
      <c r="J27" s="31">
        <f>SUM(J21:J26)</f>
        <v>4.005435054983284</v>
      </c>
      <c r="K27" s="43">
        <f>SUM(K21:K26)</f>
        <v>47814.079881851954</v>
      </c>
      <c r="L27" s="6">
        <f>SUM(L21:L26)</f>
        <v>95628.15976370391</v>
      </c>
      <c r="M27" s="6">
        <f>SUM(M21:M26)</f>
        <v>143442.23964555588</v>
      </c>
    </row>
    <row r="28" spans="2:13" ht="38.25">
      <c r="B28" s="1" t="s">
        <v>61</v>
      </c>
      <c r="C28" s="4" t="s">
        <v>31</v>
      </c>
      <c r="D28" s="2"/>
      <c r="E28" s="2">
        <v>111234.9</v>
      </c>
      <c r="F28" s="2"/>
      <c r="G28" s="2">
        <v>78376.2</v>
      </c>
      <c r="H28" s="2">
        <v>32858.7</v>
      </c>
      <c r="I28" s="1"/>
      <c r="J28" s="1"/>
      <c r="K28" s="1"/>
      <c r="L28" s="7"/>
      <c r="M28" s="7"/>
    </row>
    <row r="29" spans="2:13" ht="25.5">
      <c r="B29" s="1" t="s">
        <v>62</v>
      </c>
      <c r="C29" s="3" t="s">
        <v>32</v>
      </c>
      <c r="D29" s="1" t="s">
        <v>51</v>
      </c>
      <c r="E29" s="1"/>
      <c r="F29" s="1">
        <v>815719.552</v>
      </c>
      <c r="G29" s="1">
        <v>574756.7</v>
      </c>
      <c r="H29" s="1">
        <v>240962.9</v>
      </c>
      <c r="I29" s="1">
        <f>H29/H28*(C4+C3)</f>
        <v>24566.574910145566</v>
      </c>
      <c r="J29" s="30">
        <f>I29/C2/12</f>
        <v>0.5144918639505074</v>
      </c>
      <c r="K29" s="42">
        <f>J29*C2*3</f>
        <v>6141.643727536391</v>
      </c>
      <c r="L29" s="7">
        <f>J29*C2*6</f>
        <v>12283.287455072783</v>
      </c>
      <c r="M29" s="7">
        <f>J29*C2*9</f>
        <v>18424.931182609176</v>
      </c>
    </row>
    <row r="30" spans="2:13" ht="12.75">
      <c r="B30" s="1" t="s">
        <v>63</v>
      </c>
      <c r="C30" s="3" t="s">
        <v>311</v>
      </c>
      <c r="D30" s="1" t="s">
        <v>53</v>
      </c>
      <c r="E30" s="1"/>
      <c r="F30" s="1">
        <v>277344.6</v>
      </c>
      <c r="G30" s="1">
        <v>195417.3</v>
      </c>
      <c r="H30" s="1">
        <v>81927.4</v>
      </c>
      <c r="I30" s="1">
        <f>H30/H28*(C4+C3)</f>
        <v>8352.636896773154</v>
      </c>
      <c r="J30" s="30">
        <f>I30/C2/12</f>
        <v>0.17492726363526834</v>
      </c>
      <c r="K30" s="42">
        <f>J30*C2*3</f>
        <v>2088.1592241932885</v>
      </c>
      <c r="L30" s="7">
        <f>J30*C2*6</f>
        <v>4176.318448386577</v>
      </c>
      <c r="M30" s="7">
        <f>J30*C2*9</f>
        <v>6264.477672579866</v>
      </c>
    </row>
    <row r="31" spans="2:13" ht="12.75">
      <c r="B31" s="1" t="s">
        <v>65</v>
      </c>
      <c r="C31" s="3" t="s">
        <v>321</v>
      </c>
      <c r="D31" s="1" t="s">
        <v>536</v>
      </c>
      <c r="E31" s="1"/>
      <c r="F31" s="1">
        <v>115582.34</v>
      </c>
      <c r="G31" s="1">
        <v>81439.4</v>
      </c>
      <c r="H31" s="1">
        <v>34142.9</v>
      </c>
      <c r="I31" s="1">
        <f>H31/H28*(C3+C4)</f>
        <v>3480.9263604463968</v>
      </c>
      <c r="J31" s="30">
        <f>I31/C2/12</f>
        <v>0.07290020273525832</v>
      </c>
      <c r="K31" s="42">
        <f>J31*C2*3</f>
        <v>870.2315901115992</v>
      </c>
      <c r="L31" s="7">
        <f>J31*C2*6</f>
        <v>1740.4631802231984</v>
      </c>
      <c r="M31" s="7">
        <f>J31*C2*9</f>
        <v>2610.6947703347973</v>
      </c>
    </row>
    <row r="32" spans="2:13" ht="25.5">
      <c r="B32" s="1" t="s">
        <v>67</v>
      </c>
      <c r="C32" s="3" t="s">
        <v>34</v>
      </c>
      <c r="D32" s="1" t="s">
        <v>68</v>
      </c>
      <c r="E32" s="1"/>
      <c r="F32" s="1">
        <v>55220.9</v>
      </c>
      <c r="G32" s="1">
        <v>38908.7</v>
      </c>
      <c r="H32" s="1">
        <v>16312.2</v>
      </c>
      <c r="I32" s="1">
        <f>H32/H28*(C4+C3)</f>
        <v>1663.0563595029628</v>
      </c>
      <c r="J32" s="30">
        <f>I32/C2/12</f>
        <v>0.0348289889569451</v>
      </c>
      <c r="K32" s="42">
        <f>J32*C2*3</f>
        <v>415.76408987574064</v>
      </c>
      <c r="L32" s="7">
        <f>J32*C2*6</f>
        <v>831.5281797514813</v>
      </c>
      <c r="M32" s="7">
        <f>J32*C2*9</f>
        <v>1247.292269627222</v>
      </c>
    </row>
    <row r="33" spans="2:13" ht="25.5">
      <c r="B33" s="1" t="s">
        <v>69</v>
      </c>
      <c r="C33" s="3" t="s">
        <v>35</v>
      </c>
      <c r="D33" s="1"/>
      <c r="E33" s="1"/>
      <c r="F33" s="1"/>
      <c r="G33" s="1"/>
      <c r="H33" s="1"/>
      <c r="I33" s="1"/>
      <c r="J33" s="30"/>
      <c r="K33" s="42"/>
      <c r="L33" s="7"/>
      <c r="M33" s="7"/>
    </row>
    <row r="34" spans="2:13" ht="12.75">
      <c r="B34" s="1" t="s">
        <v>70</v>
      </c>
      <c r="C34" s="3" t="s">
        <v>36</v>
      </c>
      <c r="D34" s="1" t="s">
        <v>71</v>
      </c>
      <c r="E34" s="1"/>
      <c r="F34" s="1"/>
      <c r="G34" s="1"/>
      <c r="H34" s="1"/>
      <c r="I34" s="1"/>
      <c r="J34" s="30"/>
      <c r="K34" s="42"/>
      <c r="L34" s="7"/>
      <c r="M34" s="7"/>
    </row>
    <row r="35" spans="2:13" ht="12.75">
      <c r="B35" s="1" t="s">
        <v>72</v>
      </c>
      <c r="C35" s="3" t="s">
        <v>73</v>
      </c>
      <c r="D35" s="1" t="s">
        <v>322</v>
      </c>
      <c r="E35" s="1"/>
      <c r="F35" s="1">
        <v>30500</v>
      </c>
      <c r="G35" s="1">
        <v>21297.8</v>
      </c>
      <c r="H35" s="1">
        <v>9202.2</v>
      </c>
      <c r="I35" s="1">
        <f>H35/H16*C2</f>
        <v>856.8744710127631</v>
      </c>
      <c r="J35" s="30">
        <f>I35/C2/12</f>
        <v>0.017945315754248514</v>
      </c>
      <c r="K35" s="42">
        <f>J35*C2*3</f>
        <v>214.21861775319078</v>
      </c>
      <c r="L35" s="7">
        <f>J35*C2*6</f>
        <v>428.43723550638157</v>
      </c>
      <c r="M35" s="7">
        <f>J35*C2*9</f>
        <v>642.6558532595724</v>
      </c>
    </row>
    <row r="36" spans="2:13" ht="12.75">
      <c r="B36" s="1"/>
      <c r="C36" s="4" t="s">
        <v>60</v>
      </c>
      <c r="D36" s="2"/>
      <c r="E36" s="2"/>
      <c r="F36" s="2">
        <v>1294367.4</v>
      </c>
      <c r="G36" s="2">
        <v>911819.85</v>
      </c>
      <c r="H36" s="2">
        <v>382547.6</v>
      </c>
      <c r="I36" s="2">
        <f>SUM(I29:I35)</f>
        <v>38920.068997880844</v>
      </c>
      <c r="J36" s="31">
        <f>SUM(J29:J35)</f>
        <v>0.8150936350322276</v>
      </c>
      <c r="K36" s="43">
        <f>SUM(K29:K35)</f>
        <v>9730.017249470211</v>
      </c>
      <c r="L36" s="6">
        <f>SUM(L29:L35)</f>
        <v>19460.034498940422</v>
      </c>
      <c r="M36" s="6">
        <f>SUM(M29:M35)</f>
        <v>29190.051748410635</v>
      </c>
    </row>
    <row r="37" spans="2:13" ht="12.75">
      <c r="B37" s="1" t="s">
        <v>74</v>
      </c>
      <c r="C37" s="4" t="s">
        <v>37</v>
      </c>
      <c r="D37" s="48" t="s">
        <v>315</v>
      </c>
      <c r="E37" s="2"/>
      <c r="F37" s="2">
        <v>5004925.7</v>
      </c>
      <c r="G37" s="2">
        <v>3548598.7</v>
      </c>
      <c r="H37" s="2">
        <v>1456327</v>
      </c>
      <c r="I37" s="2">
        <f>H37/H16*C2</f>
        <v>135607.7272550699</v>
      </c>
      <c r="J37" s="31">
        <f>I37/C2/12</f>
        <v>2.8399999843991086</v>
      </c>
      <c r="K37" s="43">
        <f>J37*C2*3</f>
        <v>33901.93181376748</v>
      </c>
      <c r="L37" s="6">
        <f>J37*C2*6</f>
        <v>67803.86362753496</v>
      </c>
      <c r="M37" s="6">
        <f>J37*C2*9</f>
        <v>101705.79544130243</v>
      </c>
    </row>
    <row r="38" spans="2:13" ht="38.25">
      <c r="B38" s="1" t="s">
        <v>75</v>
      </c>
      <c r="C38" s="4" t="s">
        <v>38</v>
      </c>
      <c r="D38" s="2"/>
      <c r="E38" s="2">
        <v>141634.46</v>
      </c>
      <c r="F38" s="2"/>
      <c r="G38" s="2">
        <v>98901.86</v>
      </c>
      <c r="H38" s="2">
        <v>42732.6</v>
      </c>
      <c r="I38" s="1"/>
      <c r="J38" s="1"/>
      <c r="K38" s="1"/>
      <c r="L38" s="7"/>
      <c r="M38" s="7"/>
    </row>
    <row r="39" spans="2:13" ht="25.5">
      <c r="B39" s="1" t="s">
        <v>76</v>
      </c>
      <c r="C39" s="4" t="s">
        <v>324</v>
      </c>
      <c r="D39" s="1" t="s">
        <v>51</v>
      </c>
      <c r="E39" s="1"/>
      <c r="F39" s="1">
        <v>558138</v>
      </c>
      <c r="G39" s="1">
        <v>389741.9</v>
      </c>
      <c r="H39" s="1">
        <v>168396.1</v>
      </c>
      <c r="I39" s="1">
        <f>H39/H38*C2</f>
        <v>15680.415455881459</v>
      </c>
      <c r="J39" s="30">
        <f>I39/C2/12</f>
        <v>0.3283911658390394</v>
      </c>
      <c r="K39" s="42">
        <f>J39*C2*3</f>
        <v>3920.1038639703647</v>
      </c>
      <c r="L39" s="7">
        <f>J39*C2*6</f>
        <v>7840.2077279407295</v>
      </c>
      <c r="M39" s="7">
        <f>J39*C2*9</f>
        <v>11760.311591911093</v>
      </c>
    </row>
    <row r="40" spans="2:13" ht="51">
      <c r="B40" s="1" t="s">
        <v>78</v>
      </c>
      <c r="C40" s="3" t="s">
        <v>325</v>
      </c>
      <c r="D40" s="1" t="s">
        <v>53</v>
      </c>
      <c r="E40" s="1"/>
      <c r="F40" s="1">
        <v>189767</v>
      </c>
      <c r="G40" s="1">
        <v>132512</v>
      </c>
      <c r="H40" s="1">
        <v>57255</v>
      </c>
      <c r="I40" s="1">
        <f>H40/H38*C2</f>
        <v>5331.371610901279</v>
      </c>
      <c r="J40" s="30">
        <f>I40/C2/12</f>
        <v>0.11165363212161207</v>
      </c>
      <c r="K40" s="42">
        <f>J40*C2*3</f>
        <v>1332.8429027253196</v>
      </c>
      <c r="L40" s="7">
        <f>J40*C2*6</f>
        <v>2665.6858054506392</v>
      </c>
      <c r="M40" s="7">
        <f>J40*C2*9</f>
        <v>3998.528708175959</v>
      </c>
    </row>
    <row r="41" spans="2:13" ht="38.25">
      <c r="B41" s="1" t="s">
        <v>80</v>
      </c>
      <c r="C41" s="29" t="s">
        <v>320</v>
      </c>
      <c r="D41" s="1" t="s">
        <v>536</v>
      </c>
      <c r="E41" s="1"/>
      <c r="F41" s="1">
        <v>111512.16</v>
      </c>
      <c r="G41" s="1">
        <v>77867.8</v>
      </c>
      <c r="H41" s="1">
        <v>33644.4</v>
      </c>
      <c r="I41" s="1">
        <f>H41/H38*C2</f>
        <v>3132.8407829151515</v>
      </c>
      <c r="J41" s="30">
        <f>I41/C2/12</f>
        <v>0.06561033028647918</v>
      </c>
      <c r="K41" s="42">
        <f>J41*C2*3</f>
        <v>783.210195728788</v>
      </c>
      <c r="L41" s="7">
        <f>J41*C2*6</f>
        <v>1566.420391457576</v>
      </c>
      <c r="M41" s="7">
        <f>J41*C2*9</f>
        <v>2349.630587186364</v>
      </c>
    </row>
    <row r="42" spans="2:13" ht="12.75">
      <c r="B42" s="1"/>
      <c r="C42" s="3" t="s">
        <v>329</v>
      </c>
      <c r="D42" s="1"/>
      <c r="E42" s="1"/>
      <c r="F42" s="1"/>
      <c r="G42" s="1"/>
      <c r="H42" s="1"/>
      <c r="I42" s="1"/>
      <c r="J42" s="30"/>
      <c r="K42" s="42"/>
      <c r="L42" s="7"/>
      <c r="M42" s="7">
        <v>9184.92</v>
      </c>
    </row>
    <row r="43" spans="2:13" ht="25.5">
      <c r="B43" s="1"/>
      <c r="C43" s="4" t="s">
        <v>250</v>
      </c>
      <c r="D43" s="1"/>
      <c r="E43" s="1"/>
      <c r="F43" s="1"/>
      <c r="G43" s="1"/>
      <c r="H43" s="1"/>
      <c r="I43" s="1"/>
      <c r="J43" s="30"/>
      <c r="K43" s="42"/>
      <c r="L43" s="7"/>
      <c r="M43" s="7">
        <v>34358</v>
      </c>
    </row>
    <row r="44" spans="2:13" ht="12.75">
      <c r="B44" s="1"/>
      <c r="C44" s="4" t="s">
        <v>60</v>
      </c>
      <c r="D44" s="2"/>
      <c r="E44" s="2"/>
      <c r="F44" s="2">
        <v>859417.1</v>
      </c>
      <c r="G44" s="2">
        <v>600121.9</v>
      </c>
      <c r="H44" s="2">
        <v>259295.1</v>
      </c>
      <c r="I44" s="2">
        <f>SUM(I39:I43)</f>
        <v>24144.62784969789</v>
      </c>
      <c r="J44" s="31">
        <f>SUM(J39:J43)</f>
        <v>0.5056551282471307</v>
      </c>
      <c r="K44" s="43">
        <f>SUM(K39:K43)</f>
        <v>6036.156962424472</v>
      </c>
      <c r="L44" s="6">
        <f>SUM(L39:L43)</f>
        <v>12072.313924848944</v>
      </c>
      <c r="M44" s="6">
        <f>SUM(M39:M43)</f>
        <v>61651.39088727342</v>
      </c>
    </row>
    <row r="45" spans="2:13" ht="38.25">
      <c r="B45" s="1" t="s">
        <v>81</v>
      </c>
      <c r="C45" s="4" t="s">
        <v>328</v>
      </c>
      <c r="D45" s="2"/>
      <c r="E45" s="2">
        <v>141634.46</v>
      </c>
      <c r="F45" s="2"/>
      <c r="G45" s="2">
        <v>98901.86</v>
      </c>
      <c r="H45" s="2">
        <v>42732.6</v>
      </c>
      <c r="I45" s="1"/>
      <c r="J45" s="1"/>
      <c r="K45" s="1"/>
      <c r="L45" s="7"/>
      <c r="M45" s="7"/>
    </row>
    <row r="46" spans="2:13" ht="12.75">
      <c r="B46" s="1" t="s">
        <v>82</v>
      </c>
      <c r="C46" s="3" t="s">
        <v>326</v>
      </c>
      <c r="D46" s="1" t="s">
        <v>51</v>
      </c>
      <c r="E46" s="1"/>
      <c r="F46" s="1">
        <v>667518.8</v>
      </c>
      <c r="G46" s="1">
        <v>466121.4</v>
      </c>
      <c r="H46" s="1">
        <v>201397.4</v>
      </c>
      <c r="I46" s="1">
        <f>H46/H45*C2</f>
        <v>18753.37317036642</v>
      </c>
      <c r="J46" s="30">
        <f>I46/C2/12</f>
        <v>0.3927473794402088</v>
      </c>
      <c r="K46" s="42">
        <f>J46*C2*3</f>
        <v>4688.343292591605</v>
      </c>
      <c r="L46" s="7">
        <f>J46*C2*6</f>
        <v>9376.68658518321</v>
      </c>
      <c r="M46" s="7">
        <f>J46*C2*9</f>
        <v>14065.029877774814</v>
      </c>
    </row>
    <row r="47" spans="2:13" ht="25.5">
      <c r="B47" s="1" t="s">
        <v>84</v>
      </c>
      <c r="C47" s="3" t="s">
        <v>327</v>
      </c>
      <c r="D47" s="1" t="s">
        <v>53</v>
      </c>
      <c r="E47" s="1"/>
      <c r="F47" s="1">
        <v>226956</v>
      </c>
      <c r="G47" s="1">
        <v>158481.3</v>
      </c>
      <c r="H47" s="1">
        <v>68475.1</v>
      </c>
      <c r="I47" s="1">
        <f>H47/H45*C2</f>
        <v>6376.145388064382</v>
      </c>
      <c r="J47" s="30">
        <f>I47/C2/12</f>
        <v>0.1335340778078875</v>
      </c>
      <c r="K47" s="42">
        <f>J47*C2*3</f>
        <v>1594.0363470160955</v>
      </c>
      <c r="L47" s="7">
        <f>J47*C2*6</f>
        <v>3188.072694032191</v>
      </c>
      <c r="M47" s="7">
        <f>J47*C2*9</f>
        <v>4782.109041048287</v>
      </c>
    </row>
    <row r="48" spans="2:13" ht="51">
      <c r="B48" s="1" t="s">
        <v>86</v>
      </c>
      <c r="C48" s="3" t="s">
        <v>87</v>
      </c>
      <c r="D48" s="1" t="s">
        <v>536</v>
      </c>
      <c r="E48" s="1"/>
      <c r="F48" s="1">
        <v>446048.65</v>
      </c>
      <c r="G48" s="1">
        <v>311471.1</v>
      </c>
      <c r="H48" s="1">
        <v>134577.5</v>
      </c>
      <c r="I48" s="1">
        <f>H48/H45*C2</f>
        <v>12531.353820034354</v>
      </c>
      <c r="J48" s="30">
        <f>I48/C2/12</f>
        <v>0.2624411261347699</v>
      </c>
      <c r="K48" s="42">
        <f>J48*C2*3</f>
        <v>3132.8384550085884</v>
      </c>
      <c r="L48" s="7">
        <f>J48*C2*6</f>
        <v>6265.676910017177</v>
      </c>
      <c r="M48" s="7">
        <v>382.9</v>
      </c>
    </row>
    <row r="49" spans="2:13" ht="38.25">
      <c r="B49" s="1" t="s">
        <v>88</v>
      </c>
      <c r="C49" s="3" t="s">
        <v>130</v>
      </c>
      <c r="D49" s="1"/>
      <c r="E49" s="1"/>
      <c r="F49" s="1"/>
      <c r="G49" s="1"/>
      <c r="H49" s="1"/>
      <c r="I49" s="1"/>
      <c r="J49" s="30"/>
      <c r="K49" s="42"/>
      <c r="L49" s="7"/>
      <c r="M49" s="7"/>
    </row>
    <row r="50" spans="2:13" ht="38.25">
      <c r="B50" s="1" t="s">
        <v>89</v>
      </c>
      <c r="C50" s="3" t="s">
        <v>90</v>
      </c>
      <c r="D50" s="1" t="s">
        <v>71</v>
      </c>
      <c r="E50" s="1"/>
      <c r="F50" s="1"/>
      <c r="G50" s="1"/>
      <c r="H50" s="1"/>
      <c r="I50" s="1"/>
      <c r="J50" s="30"/>
      <c r="K50" s="42"/>
      <c r="L50" s="7"/>
      <c r="M50" s="7"/>
    </row>
    <row r="51" spans="2:13" ht="63.75">
      <c r="B51" s="1" t="s">
        <v>91</v>
      </c>
      <c r="C51" s="3" t="s">
        <v>92</v>
      </c>
      <c r="D51" s="1"/>
      <c r="E51" s="1"/>
      <c r="F51" s="1"/>
      <c r="G51" s="1"/>
      <c r="H51" s="1"/>
      <c r="I51" s="1"/>
      <c r="J51" s="30"/>
      <c r="K51" s="42"/>
      <c r="L51" s="7"/>
      <c r="M51" s="7"/>
    </row>
    <row r="52" spans="2:13" ht="38.25">
      <c r="B52" s="1" t="s">
        <v>93</v>
      </c>
      <c r="C52" s="4" t="s">
        <v>188</v>
      </c>
      <c r="D52" s="1"/>
      <c r="E52" s="1"/>
      <c r="F52" s="1"/>
      <c r="G52" s="1"/>
      <c r="H52" s="1"/>
      <c r="I52" s="1"/>
      <c r="J52" s="30"/>
      <c r="K52" s="42"/>
      <c r="L52" s="7"/>
      <c r="M52" s="7"/>
    </row>
    <row r="53" spans="2:13" ht="12.75">
      <c r="B53" s="1"/>
      <c r="C53" s="4" t="s">
        <v>60</v>
      </c>
      <c r="D53" s="2"/>
      <c r="E53" s="2"/>
      <c r="F53" s="2">
        <v>1340523.8</v>
      </c>
      <c r="G53" s="2">
        <v>936073.8</v>
      </c>
      <c r="H53" s="2">
        <v>404450.1</v>
      </c>
      <c r="I53" s="2">
        <f>SUM(I46:I52)</f>
        <v>37660.87237846515</v>
      </c>
      <c r="J53" s="31">
        <f>SUM(J46:J52)</f>
        <v>0.7887225833828662</v>
      </c>
      <c r="K53" s="43">
        <f>SUM(K46:K52)</f>
        <v>9415.218094616288</v>
      </c>
      <c r="L53" s="6">
        <f>SUM(L46:L52)</f>
        <v>18830.436189232576</v>
      </c>
      <c r="M53" s="6">
        <f>SUM(M46:M52)</f>
        <v>19230.038918823102</v>
      </c>
    </row>
    <row r="54" spans="2:13" ht="38.25">
      <c r="B54" s="1" t="s">
        <v>95</v>
      </c>
      <c r="C54" s="4" t="s">
        <v>481</v>
      </c>
      <c r="D54" s="2"/>
      <c r="E54" s="2">
        <v>141634.46</v>
      </c>
      <c r="F54" s="2"/>
      <c r="G54" s="2">
        <v>98901.86</v>
      </c>
      <c r="H54" s="2">
        <v>42732.6</v>
      </c>
      <c r="I54" s="1"/>
      <c r="J54" s="1"/>
      <c r="K54" s="1"/>
      <c r="L54" s="7"/>
      <c r="M54" s="7"/>
    </row>
    <row r="55" spans="2:13" ht="76.5">
      <c r="B55" s="1" t="s">
        <v>96</v>
      </c>
      <c r="C55" s="3" t="s">
        <v>316</v>
      </c>
      <c r="D55" s="1" t="s">
        <v>51</v>
      </c>
      <c r="E55" s="1"/>
      <c r="F55" s="1">
        <v>3033160.58</v>
      </c>
      <c r="G55" s="1">
        <v>2118024.3</v>
      </c>
      <c r="H55" s="1">
        <v>915136.3</v>
      </c>
      <c r="I55" s="1">
        <f>H55/H54*C2</f>
        <v>85214.0719574751</v>
      </c>
      <c r="J55" s="30">
        <f>I55/C2/12</f>
        <v>1.7846177937530914</v>
      </c>
      <c r="K55" s="42">
        <f>J55*C2*3</f>
        <v>21303.51798936878</v>
      </c>
      <c r="L55" s="7">
        <f>J55*C2*6</f>
        <v>42607.03597873756</v>
      </c>
      <c r="M55" s="7">
        <f>J55*C2*9</f>
        <v>63910.55396810633</v>
      </c>
    </row>
    <row r="56" spans="2:13" ht="76.5">
      <c r="B56" s="1" t="s">
        <v>98</v>
      </c>
      <c r="C56" s="4" t="s">
        <v>317</v>
      </c>
      <c r="D56" s="1" t="s">
        <v>53</v>
      </c>
      <c r="E56" s="1"/>
      <c r="F56" s="1">
        <v>1031274.6</v>
      </c>
      <c r="G56" s="1">
        <v>720128.3</v>
      </c>
      <c r="H56" s="1">
        <v>311146.3</v>
      </c>
      <c r="I56" s="1">
        <f>H56/H54*C2</f>
        <v>28972.780554658504</v>
      </c>
      <c r="J56" s="30">
        <f>I56/C2/12</f>
        <v>0.6067699679713693</v>
      </c>
      <c r="K56" s="42">
        <f>J56*C2*3</f>
        <v>7243.195138664627</v>
      </c>
      <c r="L56" s="7">
        <f>J56*C2*6</f>
        <v>14486.390277329254</v>
      </c>
      <c r="M56" s="7">
        <f>J56*C2*9</f>
        <v>21729.585415993883</v>
      </c>
    </row>
    <row r="57" spans="2:13" ht="12.75">
      <c r="B57" s="1" t="s">
        <v>100</v>
      </c>
      <c r="C57" s="3" t="s">
        <v>101</v>
      </c>
      <c r="D57" s="1" t="s">
        <v>536</v>
      </c>
      <c r="E57" s="1"/>
      <c r="F57" s="1">
        <v>719534.71</v>
      </c>
      <c r="G57" s="1">
        <v>502443.6</v>
      </c>
      <c r="H57" s="1">
        <v>217091.2</v>
      </c>
      <c r="I57" s="1">
        <f>H57/H54*C2</f>
        <v>20214.721171190147</v>
      </c>
      <c r="J57" s="30">
        <f>I57/C2/12</f>
        <v>0.423352038802538</v>
      </c>
      <c r="K57" s="42">
        <f>J57*C2*3</f>
        <v>5053.680292797537</v>
      </c>
      <c r="L57" s="7">
        <f>J57*C2*6</f>
        <v>10107.360585595074</v>
      </c>
      <c r="M57" s="7">
        <f>J57*C2*9</f>
        <v>15161.04087839261</v>
      </c>
    </row>
    <row r="58" spans="2:13" ht="51">
      <c r="B58" s="1" t="s">
        <v>102</v>
      </c>
      <c r="C58" s="3" t="s">
        <v>318</v>
      </c>
      <c r="D58" s="1"/>
      <c r="E58" s="1"/>
      <c r="F58" s="1"/>
      <c r="G58" s="1"/>
      <c r="H58" s="1"/>
      <c r="I58" s="1"/>
      <c r="J58" s="30"/>
      <c r="K58" s="42"/>
      <c r="L58" s="7"/>
      <c r="M58" s="7"/>
    </row>
    <row r="59" spans="2:13" ht="51">
      <c r="B59" s="1" t="s">
        <v>104</v>
      </c>
      <c r="C59" s="4" t="s">
        <v>319</v>
      </c>
      <c r="D59" s="1" t="s">
        <v>71</v>
      </c>
      <c r="E59" s="1"/>
      <c r="F59" s="1"/>
      <c r="G59" s="1"/>
      <c r="H59" s="1"/>
      <c r="I59" s="1"/>
      <c r="J59" s="30"/>
      <c r="K59" s="42"/>
      <c r="L59" s="7"/>
      <c r="M59" s="7"/>
    </row>
    <row r="60" spans="2:13" ht="51">
      <c r="B60" s="1" t="s">
        <v>105</v>
      </c>
      <c r="C60" s="3" t="s">
        <v>106</v>
      </c>
      <c r="D60" s="3" t="s">
        <v>107</v>
      </c>
      <c r="E60" s="3" t="s">
        <v>108</v>
      </c>
      <c r="F60" s="1">
        <v>71968.71</v>
      </c>
      <c r="G60" s="1">
        <v>32713.05</v>
      </c>
      <c r="H60" s="1">
        <v>39255.66</v>
      </c>
      <c r="I60" s="1">
        <f>H60/6*C9</f>
        <v>0</v>
      </c>
      <c r="J60" s="30">
        <f>I60/C2/12</f>
        <v>0</v>
      </c>
      <c r="K60" s="42">
        <f>J60*C2*3</f>
        <v>0</v>
      </c>
      <c r="L60" s="7"/>
      <c r="M60" s="7">
        <f>J60*C2*9</f>
        <v>0</v>
      </c>
    </row>
    <row r="61" spans="2:13" ht="12.75">
      <c r="B61" s="1"/>
      <c r="C61" s="4" t="s">
        <v>60</v>
      </c>
      <c r="D61" s="2"/>
      <c r="E61" s="2"/>
      <c r="F61" s="2">
        <v>4855938.6</v>
      </c>
      <c r="G61" s="2">
        <v>3373309.1</v>
      </c>
      <c r="H61" s="2">
        <v>1482629.5</v>
      </c>
      <c r="I61" s="2">
        <f>SUM(I55:I60)</f>
        <v>134401.57368332375</v>
      </c>
      <c r="J61" s="31">
        <f>SUM(J55:J60)</f>
        <v>2.814739800526999</v>
      </c>
      <c r="K61" s="43">
        <f>SUM(K55:K60)</f>
        <v>33600.393420830944</v>
      </c>
      <c r="L61" s="6">
        <f>SUM(L55:L60)</f>
        <v>67200.78684166189</v>
      </c>
      <c r="M61" s="6">
        <f>SUM(M55:M60)</f>
        <v>100801.18026249282</v>
      </c>
    </row>
    <row r="62" spans="2:13" ht="12.75">
      <c r="B62" s="1" t="s">
        <v>109</v>
      </c>
      <c r="C62" s="4" t="s">
        <v>482</v>
      </c>
      <c r="D62" s="2"/>
      <c r="E62" s="2">
        <v>141634.46</v>
      </c>
      <c r="F62" s="2"/>
      <c r="G62" s="2">
        <v>98901.86</v>
      </c>
      <c r="H62" s="2">
        <v>42732.6</v>
      </c>
      <c r="I62" s="1"/>
      <c r="J62" s="1"/>
      <c r="K62" s="1"/>
      <c r="L62" s="7"/>
      <c r="M62" s="7"/>
    </row>
    <row r="63" spans="2:13" ht="51">
      <c r="B63" s="1" t="s">
        <v>110</v>
      </c>
      <c r="C63" s="3" t="s">
        <v>483</v>
      </c>
      <c r="D63" s="1" t="s">
        <v>111</v>
      </c>
      <c r="E63" s="1"/>
      <c r="F63" s="1">
        <v>277923.9</v>
      </c>
      <c r="G63" s="1">
        <v>194071.3</v>
      </c>
      <c r="H63" s="1">
        <v>83852.6</v>
      </c>
      <c r="I63" s="1">
        <f>H63/H62*C2</f>
        <v>7808.040715051273</v>
      </c>
      <c r="J63" s="30">
        <f>I63/C2/12</f>
        <v>0.16352191691277077</v>
      </c>
      <c r="K63" s="42">
        <f>J63*C2*3</f>
        <v>1952.0101787628184</v>
      </c>
      <c r="L63" s="7">
        <f>J63*C2*6</f>
        <v>3904.020357525637</v>
      </c>
      <c r="M63" s="7">
        <f>J63*C2*9</f>
        <v>5856.030536288456</v>
      </c>
    </row>
    <row r="64" spans="2:13" ht="12.75">
      <c r="B64" s="1"/>
      <c r="C64" s="3"/>
      <c r="D64" s="1" t="s">
        <v>53</v>
      </c>
      <c r="E64" s="1"/>
      <c r="F64" s="1">
        <v>94494.1</v>
      </c>
      <c r="G64" s="1">
        <v>65984.3</v>
      </c>
      <c r="H64" s="1">
        <v>28509.9</v>
      </c>
      <c r="I64" s="1">
        <f>H64/H62*C2</f>
        <v>2654.7353329776333</v>
      </c>
      <c r="J64" s="30">
        <f>I64/C2/12</f>
        <v>0.05559748295212555</v>
      </c>
      <c r="K64" s="42">
        <f>J64*C2*3</f>
        <v>663.6838332444083</v>
      </c>
      <c r="L64" s="7">
        <f>J64*C2*6</f>
        <v>1327.3676664888167</v>
      </c>
      <c r="M64" s="7">
        <f>J64*C2*9</f>
        <v>1991.051499733225</v>
      </c>
    </row>
    <row r="65" spans="2:13" ht="12.75">
      <c r="B65" s="1"/>
      <c r="C65" s="3"/>
      <c r="D65" s="1" t="s">
        <v>536</v>
      </c>
      <c r="E65" s="1"/>
      <c r="F65" s="1">
        <v>79948</v>
      </c>
      <c r="G65" s="1">
        <v>55826.9</v>
      </c>
      <c r="H65" s="1">
        <v>24121.1</v>
      </c>
      <c r="I65" s="1">
        <f>H65/H62*C2</f>
        <v>2246.066680005429</v>
      </c>
      <c r="J65" s="30">
        <f>I65/C2/12</f>
        <v>0.04703883373973656</v>
      </c>
      <c r="K65" s="42">
        <f>J65*C2*3</f>
        <v>561.5166700013572</v>
      </c>
      <c r="L65" s="7">
        <f>J65*C2*6</f>
        <v>1123.0333400027143</v>
      </c>
      <c r="M65" s="7">
        <f>J65*C2*9</f>
        <v>1684.5500100040715</v>
      </c>
    </row>
    <row r="66" spans="2:13" ht="25.5">
      <c r="B66" s="1"/>
      <c r="C66" s="3" t="s">
        <v>112</v>
      </c>
      <c r="D66" s="3" t="s">
        <v>323</v>
      </c>
      <c r="E66" s="1"/>
      <c r="F66" s="1">
        <v>882609.2</v>
      </c>
      <c r="G66" s="1">
        <v>344178.5</v>
      </c>
      <c r="H66" s="1">
        <v>538430.8</v>
      </c>
      <c r="I66" s="1">
        <f>H66/H62*C2</f>
        <v>50136.663724650505</v>
      </c>
      <c r="J66" s="30">
        <f>I66/C2/12</f>
        <v>1.050000078004459</v>
      </c>
      <c r="K66" s="42">
        <f>J66*C2*3</f>
        <v>12534.165931162628</v>
      </c>
      <c r="L66" s="7">
        <f>J66*C2*6</f>
        <v>25068.331862325256</v>
      </c>
      <c r="M66" s="7">
        <f>J66*C2*9</f>
        <v>37602.497793487884</v>
      </c>
    </row>
    <row r="67" spans="2:13" ht="12.75">
      <c r="B67" s="1"/>
      <c r="C67" s="3"/>
      <c r="D67" s="1"/>
      <c r="E67" s="1"/>
      <c r="F67" s="1"/>
      <c r="G67" s="1"/>
      <c r="H67" s="1"/>
      <c r="I67" s="1"/>
      <c r="J67" s="30"/>
      <c r="K67" s="42"/>
      <c r="L67" s="7"/>
      <c r="M67" s="7"/>
    </row>
    <row r="68" spans="2:13" ht="12.75">
      <c r="B68" s="1"/>
      <c r="C68" s="4" t="s">
        <v>60</v>
      </c>
      <c r="D68" s="2"/>
      <c r="E68" s="2"/>
      <c r="F68" s="2">
        <v>1334975.3</v>
      </c>
      <c r="G68" s="2">
        <v>660060.9</v>
      </c>
      <c r="H68" s="2">
        <v>674914.3</v>
      </c>
      <c r="I68" s="2">
        <f>SUM(I63:I67)</f>
        <v>62845.506452684844</v>
      </c>
      <c r="J68" s="31">
        <f>SUM(J63:J67)</f>
        <v>1.3161583116090918</v>
      </c>
      <c r="K68" s="43">
        <f>SUM(K63:K67)</f>
        <v>15711.376613171211</v>
      </c>
      <c r="L68" s="6">
        <f>SUM(L63:L67)</f>
        <v>31422.753226342422</v>
      </c>
      <c r="M68" s="6">
        <f>SUM(M63:M67)</f>
        <v>47134.12983951364</v>
      </c>
    </row>
    <row r="69" spans="2:13" ht="12.75">
      <c r="B69" s="1" t="s">
        <v>113</v>
      </c>
      <c r="C69" s="4" t="s">
        <v>484</v>
      </c>
      <c r="D69" s="2"/>
      <c r="E69" s="2">
        <v>15</v>
      </c>
      <c r="F69" s="2">
        <v>1600212</v>
      </c>
      <c r="G69" s="2"/>
      <c r="H69" s="2">
        <v>1600212</v>
      </c>
      <c r="I69" s="2">
        <f>I70+I71</f>
        <v>145157.568</v>
      </c>
      <c r="J69" s="31">
        <f>J70+J71</f>
        <v>3.0400000000000005</v>
      </c>
      <c r="K69" s="2">
        <f>J69*C2*3</f>
        <v>36289.39200000001</v>
      </c>
      <c r="L69" s="6">
        <f>J69*C2*6</f>
        <v>72578.78400000001</v>
      </c>
      <c r="M69" s="6">
        <f>J69*C2*9</f>
        <v>108868.17600000002</v>
      </c>
    </row>
    <row r="70" spans="2:13" ht="12.75">
      <c r="B70" s="1"/>
      <c r="C70" s="3" t="s">
        <v>114</v>
      </c>
      <c r="D70" s="1" t="s">
        <v>334</v>
      </c>
      <c r="E70" s="1"/>
      <c r="F70" s="1">
        <v>1431000</v>
      </c>
      <c r="G70" s="1"/>
      <c r="H70" s="1">
        <v>1431000</v>
      </c>
      <c r="I70" s="1">
        <f>2.79*C2*12</f>
        <v>133220.268</v>
      </c>
      <c r="J70" s="30">
        <f>I70/C2/12</f>
        <v>2.7900000000000005</v>
      </c>
      <c r="K70" s="1">
        <f>J70*C2*3</f>
        <v>33305.06700000001</v>
      </c>
      <c r="L70" s="7">
        <f>J70*C2*6</f>
        <v>66610.13400000002</v>
      </c>
      <c r="M70" s="7">
        <f>J70*C2*9</f>
        <v>99915.20100000002</v>
      </c>
    </row>
    <row r="71" spans="2:13" ht="12.75">
      <c r="B71" s="1"/>
      <c r="C71" s="3" t="s">
        <v>115</v>
      </c>
      <c r="D71" s="1"/>
      <c r="E71" s="1"/>
      <c r="F71" s="1">
        <v>169212</v>
      </c>
      <c r="G71" s="1"/>
      <c r="H71" s="1">
        <v>169212</v>
      </c>
      <c r="I71" s="1">
        <f>0.25*C2*12</f>
        <v>11937.3</v>
      </c>
      <c r="J71" s="30">
        <f>I71/C2/12</f>
        <v>0.25</v>
      </c>
      <c r="K71" s="1">
        <f>J71*C2*3</f>
        <v>2984.325</v>
      </c>
      <c r="L71" s="7">
        <f>J71*C2*6</f>
        <v>5968.65</v>
      </c>
      <c r="M71" s="7">
        <f>J71*C2*9</f>
        <v>8952.975</v>
      </c>
    </row>
    <row r="72" spans="2:13" ht="12.75" hidden="1">
      <c r="B72" s="1" t="s">
        <v>116</v>
      </c>
      <c r="C72" s="3" t="s">
        <v>485</v>
      </c>
      <c r="D72" s="1"/>
      <c r="E72" s="1"/>
      <c r="F72" s="1"/>
      <c r="G72" s="1"/>
      <c r="H72" s="1"/>
      <c r="I72" s="1"/>
      <c r="J72" s="1"/>
      <c r="K72" s="1"/>
      <c r="L72" s="7"/>
      <c r="M72" s="7"/>
    </row>
    <row r="73" spans="2:13" ht="12.75">
      <c r="B73" s="1"/>
      <c r="C73" s="3"/>
      <c r="D73" s="1"/>
      <c r="E73" s="1"/>
      <c r="F73" s="1"/>
      <c r="G73" s="1"/>
      <c r="H73" s="1"/>
      <c r="I73" s="1"/>
      <c r="J73" s="1"/>
      <c r="K73" s="1"/>
      <c r="L73" s="7"/>
      <c r="M73" s="7"/>
    </row>
    <row r="74" spans="2:13" ht="12.75">
      <c r="B74" s="2" t="s">
        <v>117</v>
      </c>
      <c r="C74" s="4"/>
      <c r="D74" s="2"/>
      <c r="E74" s="2"/>
      <c r="F74" s="2">
        <v>19547580.6</v>
      </c>
      <c r="G74" s="2">
        <v>11502035</v>
      </c>
      <c r="H74" s="2">
        <v>8045545.6</v>
      </c>
      <c r="I74" s="2">
        <f>I27+I36+I37+I44+I53+I61+I68+I69</f>
        <v>769994.2641445302</v>
      </c>
      <c r="J74" s="31">
        <f>J27+J36+J37+J44+J53+J61+J68+J69</f>
        <v>16.125804498180706</v>
      </c>
      <c r="K74" s="43">
        <f>J74*C2*3</f>
        <v>192498.56603613254</v>
      </c>
      <c r="L74" s="6">
        <f>L27+L36+L37+L44+L53+L61+L68+L69</f>
        <v>384997.13207226514</v>
      </c>
      <c r="M74" s="6">
        <f>M27+M36+M37+M44+M53+M61+M68+M69</f>
        <v>612023.002743372</v>
      </c>
    </row>
    <row r="75" spans="2:13" ht="12.75">
      <c r="B75" s="1"/>
      <c r="C75" s="3" t="s">
        <v>118</v>
      </c>
      <c r="D75" s="1"/>
      <c r="E75" s="1"/>
      <c r="F75" s="1">
        <v>1724360</v>
      </c>
      <c r="G75" s="1">
        <v>1204102.5</v>
      </c>
      <c r="H75" s="1">
        <v>520257.5</v>
      </c>
      <c r="I75" s="1">
        <f>H75/H74*I74</f>
        <v>49790.94157121835</v>
      </c>
      <c r="J75" s="30">
        <f>I75/C2/12</f>
        <v>1.0427597021775934</v>
      </c>
      <c r="K75" s="42">
        <f>J75*C2*3</f>
        <v>12447.735392804585</v>
      </c>
      <c r="L75" s="7">
        <f>J75*C2*6</f>
        <v>24895.47078560917</v>
      </c>
      <c r="M75" s="7">
        <f>J75*C2*9</f>
        <v>37343.206178413755</v>
      </c>
    </row>
    <row r="76" spans="2:13" ht="25.5">
      <c r="B76" s="1"/>
      <c r="C76" s="3" t="s">
        <v>119</v>
      </c>
      <c r="D76" s="1"/>
      <c r="E76" s="1"/>
      <c r="F76" s="1">
        <v>5396925.11</v>
      </c>
      <c r="G76" s="1">
        <v>3223686.7</v>
      </c>
      <c r="H76" s="1">
        <v>2173238.4</v>
      </c>
      <c r="I76" s="1">
        <f>H76/(H74+H75)*(I74+I75)</f>
        <v>207988.51759893526</v>
      </c>
      <c r="J76" s="30">
        <f>I76/C2/12</f>
        <v>4.355853450925571</v>
      </c>
      <c r="K76" s="42">
        <f>C2*3</f>
        <v>11937.3</v>
      </c>
      <c r="L76" s="7">
        <f>J76*C2*6</f>
        <v>103994.25879946764</v>
      </c>
      <c r="M76" s="7">
        <f>J76*C2*9</f>
        <v>155991.38819920146</v>
      </c>
    </row>
    <row r="77" spans="2:13" ht="12.75">
      <c r="B77" s="2" t="s">
        <v>590</v>
      </c>
      <c r="C77" s="4"/>
      <c r="D77" s="2"/>
      <c r="E77" s="2"/>
      <c r="F77" s="2">
        <v>26668865.67</v>
      </c>
      <c r="G77" s="2">
        <v>15929824.3</v>
      </c>
      <c r="H77" s="2">
        <v>10739041.4</v>
      </c>
      <c r="I77" s="2">
        <f>I74+I75+I76</f>
        <v>1027773.7233146838</v>
      </c>
      <c r="J77" s="31">
        <f>J74+J75+J76</f>
        <v>21.524417651283873</v>
      </c>
      <c r="K77" s="43">
        <f>J77*C2*3</f>
        <v>256943.43082867097</v>
      </c>
      <c r="L77" s="6">
        <f>SUM(L74:L76)</f>
        <v>513886.86165734194</v>
      </c>
      <c r="M77" s="6">
        <f>SUM(M74:M76)</f>
        <v>805357.5971209871</v>
      </c>
    </row>
    <row r="78" spans="2:13" ht="12.75">
      <c r="B78" s="1" t="s">
        <v>330</v>
      </c>
      <c r="C78" s="3"/>
      <c r="D78" s="1"/>
      <c r="E78" s="1"/>
      <c r="F78" s="1">
        <v>1333443.28</v>
      </c>
      <c r="G78" s="1">
        <v>796491.2</v>
      </c>
      <c r="H78" s="1">
        <v>536952.07</v>
      </c>
      <c r="I78" s="1"/>
      <c r="J78" s="30"/>
      <c r="K78" s="42"/>
      <c r="L78" s="7"/>
      <c r="M78" s="7"/>
    </row>
    <row r="79" spans="2:13" ht="25.5">
      <c r="B79" s="1"/>
      <c r="C79" s="4" t="s">
        <v>121</v>
      </c>
      <c r="D79" s="2"/>
      <c r="E79" s="2"/>
      <c r="F79" s="2">
        <v>28002308.95</v>
      </c>
      <c r="G79" s="2">
        <v>16726315.5</v>
      </c>
      <c r="H79" s="2">
        <v>11275993.5</v>
      </c>
      <c r="I79" s="2">
        <f>I77+I78</f>
        <v>1027773.7233146838</v>
      </c>
      <c r="J79" s="31">
        <f>J77+J78</f>
        <v>21.524417651283873</v>
      </c>
      <c r="K79" s="2">
        <f>J79*C2*3</f>
        <v>256943.43082867097</v>
      </c>
      <c r="L79" s="6">
        <f>L77+L78</f>
        <v>513886.86165734194</v>
      </c>
      <c r="M79" s="6">
        <f>M77+M78</f>
        <v>805357.5971209871</v>
      </c>
    </row>
    <row r="80" spans="2:13" ht="12.75">
      <c r="B80" s="1"/>
      <c r="C80" s="4" t="s">
        <v>333</v>
      </c>
      <c r="D80" s="2"/>
      <c r="E80" s="2"/>
      <c r="F80" s="2"/>
      <c r="G80" s="2"/>
      <c r="H80" s="2"/>
      <c r="I80" s="2"/>
      <c r="J80" s="2"/>
      <c r="K80" s="2"/>
      <c r="L80" s="6"/>
      <c r="M80" s="6">
        <f>M81-M79</f>
        <v>-805357.5971209871</v>
      </c>
    </row>
    <row r="81" spans="2:13" ht="12.75">
      <c r="B81" s="1"/>
      <c r="C81" s="1" t="s">
        <v>331</v>
      </c>
      <c r="D81" s="1"/>
      <c r="E81" s="1"/>
      <c r="F81" s="1"/>
      <c r="G81" s="1"/>
      <c r="H81" s="1"/>
      <c r="I81" s="1"/>
      <c r="J81" s="1"/>
      <c r="K81" s="1"/>
      <c r="L81" s="7"/>
      <c r="M81" s="7"/>
    </row>
    <row r="82" spans="2:13" ht="12.75">
      <c r="B82" s="1"/>
      <c r="C82" s="1" t="s">
        <v>332</v>
      </c>
      <c r="D82" s="1"/>
      <c r="E82" s="1"/>
      <c r="F82" s="1"/>
      <c r="G82" s="1"/>
      <c r="H82" s="1"/>
      <c r="I82" s="1"/>
      <c r="J82" s="1">
        <v>2.79</v>
      </c>
      <c r="K82" s="1"/>
      <c r="L82" s="7"/>
      <c r="M82" s="7">
        <v>128771.81</v>
      </c>
    </row>
  </sheetData>
  <mergeCells count="12">
    <mergeCell ref="K10:M14"/>
    <mergeCell ref="F10:F14"/>
    <mergeCell ref="G10:H10"/>
    <mergeCell ref="I10:J10"/>
    <mergeCell ref="G11:G14"/>
    <mergeCell ref="H11:H14"/>
    <mergeCell ref="I11:I14"/>
    <mergeCell ref="J11:J14"/>
    <mergeCell ref="B10:B14"/>
    <mergeCell ref="C10:C14"/>
    <mergeCell ref="D10:D14"/>
    <mergeCell ref="E10:E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1">
      <pane xSplit="1" ySplit="18" topLeftCell="B58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Q60" sqref="Q60"/>
    </sheetView>
  </sheetViews>
  <sheetFormatPr defaultColWidth="9.140625" defaultRowHeight="12.75"/>
  <cols>
    <col min="3" max="3" width="35.421875" style="0" customWidth="1"/>
    <col min="4" max="4" width="16.57421875" style="0" customWidth="1"/>
    <col min="5" max="5" width="17.28125" style="0" hidden="1" customWidth="1"/>
    <col min="6" max="6" width="16.00390625" style="0" hidden="1" customWidth="1"/>
    <col min="7" max="7" width="13.57421875" style="0" hidden="1" customWidth="1"/>
    <col min="8" max="8" width="14.421875" style="0" hidden="1" customWidth="1"/>
    <col min="9" max="9" width="11.8515625" style="0" hidden="1" customWidth="1"/>
    <col min="10" max="10" width="10.140625" style="0" hidden="1" customWidth="1"/>
    <col min="11" max="11" width="15.140625" style="0" hidden="1" customWidth="1"/>
    <col min="12" max="12" width="13.8515625" style="0" customWidth="1"/>
    <col min="13" max="13" width="10.421875" style="0" customWidth="1"/>
    <col min="14" max="14" width="10.8515625" style="0" customWidth="1"/>
    <col min="15" max="15" width="12.00390625" style="0" customWidth="1"/>
    <col min="16" max="16" width="11.7109375" style="0" customWidth="1"/>
    <col min="17" max="17" width="10.57421875" style="0" customWidth="1"/>
    <col min="18" max="18" width="12.57421875" style="0" customWidth="1"/>
  </cols>
  <sheetData>
    <row r="4" spans="2:3" ht="12.75">
      <c r="B4" s="5" t="s">
        <v>487</v>
      </c>
      <c r="C4" s="5" t="s">
        <v>499</v>
      </c>
    </row>
    <row r="5" spans="2:3" ht="12.75">
      <c r="B5" t="s">
        <v>488</v>
      </c>
      <c r="C5">
        <v>3093.7</v>
      </c>
    </row>
    <row r="6" spans="2:3" ht="12.75">
      <c r="B6" t="s">
        <v>489</v>
      </c>
      <c r="C6">
        <v>1980</v>
      </c>
    </row>
    <row r="7" spans="2:3" ht="12.75">
      <c r="B7" t="s">
        <v>490</v>
      </c>
      <c r="C7">
        <v>725</v>
      </c>
    </row>
    <row r="8" spans="2:3" ht="12.75">
      <c r="B8" t="s">
        <v>491</v>
      </c>
      <c r="C8">
        <v>302</v>
      </c>
    </row>
    <row r="9" spans="2:3" ht="12.75">
      <c r="B9" t="s">
        <v>492</v>
      </c>
      <c r="C9">
        <v>4</v>
      </c>
    </row>
    <row r="10" spans="2:3" ht="12.75">
      <c r="B10" t="s">
        <v>493</v>
      </c>
      <c r="C10">
        <v>60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29209.440447005927</v>
      </c>
      <c r="J27" s="30">
        <f>I27/C5/12</f>
        <v>0.786798990610109</v>
      </c>
      <c r="K27" s="42">
        <f>J27*C5*3</f>
        <v>7302.360111751483</v>
      </c>
      <c r="L27" s="7">
        <f>J27*C5*6</f>
        <v>14604.720223502965</v>
      </c>
      <c r="M27" s="1">
        <f>J27*C5*9</f>
        <v>21907.080335254446</v>
      </c>
      <c r="N27" s="1">
        <f>J27*C5*12</f>
        <v>29209.44044700593</v>
      </c>
    </row>
    <row r="28" spans="2:14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9931.208969721638</v>
      </c>
      <c r="J28" s="30">
        <f>I28/C5/12</f>
        <v>0.2675116357361099</v>
      </c>
      <c r="K28" s="42">
        <f>J28*C5*3</f>
        <v>2482.80224243041</v>
      </c>
      <c r="L28" s="7">
        <f>J28*C5*6</f>
        <v>4965.60448486082</v>
      </c>
      <c r="M28" s="1">
        <f>J28*C5*9</f>
        <v>7448.406727291229</v>
      </c>
      <c r="N28" s="1">
        <f>J28*C5*12</f>
        <v>9931.20896972164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1985.3125803676326</v>
      </c>
      <c r="J29" s="30">
        <f>I29/C5/12</f>
        <v>0.053477297420769974</v>
      </c>
      <c r="K29" s="42">
        <f>J29*C5*3</f>
        <v>496.3281450919082</v>
      </c>
      <c r="L29" s="7">
        <f>J29*C5*6</f>
        <v>992.6562901838164</v>
      </c>
      <c r="M29" s="1">
        <f>J29*C5*9</f>
        <v>1488.9844352757245</v>
      </c>
      <c r="N29" s="1">
        <f>J29*C5*12</f>
        <v>1985.3125803676328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7"/>
      <c r="M30" s="1"/>
      <c r="N30" s="1"/>
    </row>
    <row r="31" spans="2:14" ht="25.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41125.9619970952</v>
      </c>
      <c r="J33" s="31">
        <f t="shared" si="0"/>
        <v>1.107787923766989</v>
      </c>
      <c r="K33" s="43">
        <f t="shared" si="0"/>
        <v>10281.4904992738</v>
      </c>
      <c r="L33" s="6">
        <f t="shared" si="0"/>
        <v>20562.9809985476</v>
      </c>
      <c r="M33" s="2">
        <f t="shared" si="0"/>
        <v>30844.4714978214</v>
      </c>
      <c r="N33" s="2">
        <f t="shared" si="0"/>
        <v>41125.9619970952</v>
      </c>
    </row>
    <row r="34" spans="2:14" ht="38.25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25.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19836.594189307467</v>
      </c>
      <c r="J35" s="30">
        <f>I35/C5/12</f>
        <v>0.5343276710009446</v>
      </c>
      <c r="K35" s="42">
        <f>J35*C5*3</f>
        <v>4959.148547326867</v>
      </c>
      <c r="L35" s="7">
        <f>J35*C5*6</f>
        <v>9918.297094653733</v>
      </c>
      <c r="M35" s="1">
        <f>J35*C5*9</f>
        <v>14877.445641980601</v>
      </c>
      <c r="N35" s="1">
        <f>J35*C5*12</f>
        <v>19836.594189307467</v>
      </c>
    </row>
    <row r="36" spans="2:14" ht="12.75">
      <c r="B36" s="1" t="s">
        <v>63</v>
      </c>
      <c r="C36" s="3" t="s">
        <v>311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6744.4427836511595</v>
      </c>
      <c r="J36" s="30">
        <f>I36/C5/12</f>
        <v>0.1816714285928166</v>
      </c>
      <c r="K36" s="42">
        <f>J36*C5*3</f>
        <v>1686.11069591279</v>
      </c>
      <c r="L36" s="7">
        <f>J36*C5*6</f>
        <v>3372.22139182558</v>
      </c>
      <c r="M36" s="1">
        <f>J36*C5*9</f>
        <v>5058.33208773837</v>
      </c>
      <c r="N36" s="1">
        <f>J36*C5*12</f>
        <v>6744.44278365116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2810.7203079506276</v>
      </c>
      <c r="J37" s="30">
        <f>I37/C5/12</f>
        <v>0.07571086153447941</v>
      </c>
      <c r="K37" s="42">
        <f>J37*C5*3</f>
        <v>702.6800769876568</v>
      </c>
      <c r="L37" s="7">
        <f>J37*C5*6</f>
        <v>1405.3601539753136</v>
      </c>
      <c r="M37" s="1">
        <f>J37*C5*9</f>
        <v>2108.0402309629703</v>
      </c>
      <c r="N37" s="1">
        <f>J37*C5*12</f>
        <v>2810.720307950627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1342.8570599238033</v>
      </c>
      <c r="J38" s="30">
        <f>I38/C5/12</f>
        <v>0.036171818532388496</v>
      </c>
      <c r="K38" s="42">
        <f>J38*C5*3</f>
        <v>335.7142649809509</v>
      </c>
      <c r="L38" s="7">
        <f>J38*C5*6</f>
        <v>671.4285299619017</v>
      </c>
      <c r="M38" s="1">
        <f>J38*C5*9</f>
        <v>1007.1427949428526</v>
      </c>
      <c r="N38" s="1">
        <f>J38*C5*12</f>
        <v>1342.8570599238035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666.20591220428</v>
      </c>
      <c r="J41" s="30">
        <f>I41/C5/12</f>
        <v>0.017945230420000863</v>
      </c>
      <c r="K41" s="42">
        <f>J41*C5*3</f>
        <v>166.55147805107</v>
      </c>
      <c r="L41" s="7">
        <f>J41*C5*6</f>
        <v>333.10295610214</v>
      </c>
      <c r="M41" s="1">
        <f>J41*C5*9</f>
        <v>499.65443415321005</v>
      </c>
      <c r="N41" s="1">
        <f>J41*C5*12</f>
        <v>666.20591220428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31400.820253037342</v>
      </c>
      <c r="J42" s="31">
        <f t="shared" si="1"/>
        <v>0.8458270100806299</v>
      </c>
      <c r="K42" s="43">
        <f t="shared" si="1"/>
        <v>7850.205063259335</v>
      </c>
      <c r="L42" s="6">
        <f t="shared" si="1"/>
        <v>15700.41012651867</v>
      </c>
      <c r="M42" s="2">
        <f t="shared" si="1"/>
        <v>23550.615189778004</v>
      </c>
      <c r="N42" s="2">
        <f t="shared" si="1"/>
        <v>31400.82025303734</v>
      </c>
    </row>
    <row r="43" spans="2:14" ht="12.7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111001.95484887746</v>
      </c>
      <c r="J43" s="31">
        <f>I43/C5/12</f>
        <v>2.9899999689928314</v>
      </c>
      <c r="K43" s="43">
        <f>J43*C5*3</f>
        <v>27750.48871221937</v>
      </c>
      <c r="L43" s="6">
        <f>J43*C5*6</f>
        <v>55500.97742443874</v>
      </c>
      <c r="M43" s="2">
        <f>J43*C5*9</f>
        <v>83251.4661366581</v>
      </c>
      <c r="N43" s="50">
        <f>J43*C5*12</f>
        <v>111001.95484887747</v>
      </c>
    </row>
    <row r="44" spans="2:14" ht="38.2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63.75">
      <c r="B45" s="1" t="s">
        <v>76</v>
      </c>
      <c r="C45" s="3" t="s">
        <v>155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12191.322954189132</v>
      </c>
      <c r="J45" s="30">
        <f>I45/C5/12</f>
        <v>0.3283911108109258</v>
      </c>
      <c r="K45" s="42">
        <f>J45*C5*3</f>
        <v>3047.8307385472835</v>
      </c>
      <c r="L45" s="7">
        <f>J45*C5*6</f>
        <v>6095.661477094567</v>
      </c>
      <c r="M45" s="1">
        <f>J45*C5*9</f>
        <v>9143.49221564185</v>
      </c>
      <c r="N45" s="1">
        <f>J45*C5*12</f>
        <v>12191.322954189134</v>
      </c>
    </row>
    <row r="46" spans="2:14" ht="63.75">
      <c r="B46" s="1" t="s">
        <v>78</v>
      </c>
      <c r="C46" s="3" t="s">
        <v>431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4145.042109420388</v>
      </c>
      <c r="J46" s="30">
        <f>I46/C5/12</f>
        <v>0.11165277039953209</v>
      </c>
      <c r="K46" s="42">
        <f>J46*C5*3</f>
        <v>1036.260527355097</v>
      </c>
      <c r="L46" s="7">
        <f>J46*C5*6</f>
        <v>2072.521054710194</v>
      </c>
      <c r="M46" s="1">
        <f>J46*C5*9</f>
        <v>3108.7815820652913</v>
      </c>
      <c r="N46" s="1">
        <f>J46*C5*12</f>
        <v>4145.042109420388</v>
      </c>
    </row>
    <row r="47" spans="2:14" ht="89.2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2435.7440078477794</v>
      </c>
      <c r="J47" s="30">
        <f>I47/C5/12</f>
        <v>0.06561032657356831</v>
      </c>
      <c r="K47" s="42">
        <f>J47*C5*3</f>
        <v>608.9360019619448</v>
      </c>
      <c r="L47" s="7">
        <f>J47*C5*6</f>
        <v>1217.8720039238897</v>
      </c>
      <c r="M47" s="1">
        <f>J47*C5*9</f>
        <v>1826.8080058858345</v>
      </c>
      <c r="N47" s="1">
        <f>J47*C5*12</f>
        <v>2435.7440078477794</v>
      </c>
    </row>
    <row r="48" spans="2:14" ht="12.75">
      <c r="B48" s="1"/>
      <c r="C48" s="4" t="s">
        <v>273</v>
      </c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4" t="s">
        <v>304</v>
      </c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18772.1090714573</v>
      </c>
      <c r="J50" s="31">
        <f t="shared" si="2"/>
        <v>0.5056542077840263</v>
      </c>
      <c r="K50" s="43">
        <f t="shared" si="2"/>
        <v>4693.027267864325</v>
      </c>
      <c r="L50" s="6">
        <f t="shared" si="2"/>
        <v>9386.05453572865</v>
      </c>
      <c r="M50" s="2">
        <f t="shared" si="2"/>
        <v>14079.081803592975</v>
      </c>
      <c r="N50" s="2">
        <f t="shared" si="2"/>
        <v>18772.1090714573</v>
      </c>
    </row>
    <row r="51" spans="2:14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25.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14580.512188345092</v>
      </c>
      <c r="J52" s="30">
        <f>I52/C5/12</f>
        <v>0.3927474164793261</v>
      </c>
      <c r="K52" s="42">
        <f>J52*C5*3</f>
        <v>3645.128047086273</v>
      </c>
      <c r="L52" s="7">
        <f>J52*C5*6</f>
        <v>7290.256094172546</v>
      </c>
      <c r="M52" s="1">
        <f>J52*C5*9</f>
        <v>10935.384141258819</v>
      </c>
      <c r="N52" s="1">
        <f>J52*C5*12</f>
        <v>14580.512188345092</v>
      </c>
    </row>
    <row r="53" spans="2:14" ht="25.5">
      <c r="B53" s="1" t="s">
        <v>84</v>
      </c>
      <c r="C53" s="3" t="s">
        <v>427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4957.37489476942</v>
      </c>
      <c r="J53" s="30">
        <f>I53/C5/12</f>
        <v>0.13353414182503745</v>
      </c>
      <c r="K53" s="42">
        <f>J53*C5*3</f>
        <v>1239.343723692355</v>
      </c>
      <c r="L53" s="7">
        <f>J53*C5*6</f>
        <v>2478.68744738471</v>
      </c>
      <c r="M53" s="1">
        <f>J53*C5*9</f>
        <v>3718.031171077065</v>
      </c>
      <c r="N53" s="1">
        <f>J53*C5*12</f>
        <v>4957.37489476942</v>
      </c>
    </row>
    <row r="54" spans="2:14" ht="51">
      <c r="B54" s="1" t="s">
        <v>86</v>
      </c>
      <c r="C54" s="3" t="s">
        <v>87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9742.972903340746</v>
      </c>
      <c r="J54" s="30">
        <f>I54/C5/12</f>
        <v>0.26244122203566245</v>
      </c>
      <c r="K54" s="42">
        <f>J54*C5*3</f>
        <v>2435.7432258351864</v>
      </c>
      <c r="L54" s="7">
        <f>J54*C5*6</f>
        <v>4871.486451670373</v>
      </c>
      <c r="M54" s="1">
        <f>J54*C5*9</f>
        <v>7307.229677505559</v>
      </c>
      <c r="N54" s="1">
        <f>J54*C5*12</f>
        <v>9742.972903340746</v>
      </c>
    </row>
    <row r="55" spans="2:14" ht="38.2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38.2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76.5">
      <c r="B57" s="1" t="s">
        <v>91</v>
      </c>
      <c r="C57" s="3" t="s">
        <v>432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3"/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29280.859986455256</v>
      </c>
      <c r="J59" s="31">
        <f t="shared" si="3"/>
        <v>0.788722780340026</v>
      </c>
      <c r="K59" s="43">
        <f t="shared" si="3"/>
        <v>7320.214996613814</v>
      </c>
      <c r="L59" s="6">
        <f t="shared" si="3"/>
        <v>14640.429993227628</v>
      </c>
      <c r="M59" s="2">
        <f t="shared" si="3"/>
        <v>21960.644989841443</v>
      </c>
      <c r="N59" s="2">
        <f t="shared" si="3"/>
        <v>29280.859986455256</v>
      </c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25.5">
      <c r="B61" s="1" t="s">
        <v>96</v>
      </c>
      <c r="C61" s="3" t="s">
        <v>97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66252.86700280459</v>
      </c>
      <c r="J61" s="30">
        <f>I61/C5/12</f>
        <v>1.7846178524852816</v>
      </c>
      <c r="K61" s="42">
        <f>J61*C5*3</f>
        <v>16563.216750701147</v>
      </c>
      <c r="L61" s="7">
        <f>J61*C5*6</f>
        <v>33126.433501402294</v>
      </c>
      <c r="M61" s="1">
        <f>J61*C5*9</f>
        <v>49689.65025210344</v>
      </c>
      <c r="N61" s="1">
        <f>J61*C5*12</f>
        <v>66252.86700280459</v>
      </c>
    </row>
    <row r="62" spans="2:14" ht="63.75">
      <c r="B62" s="1" t="s">
        <v>98</v>
      </c>
      <c r="C62" s="3" t="s">
        <v>361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22525.975969612704</v>
      </c>
      <c r="J62" s="30">
        <f>I62/C5/12</f>
        <v>0.606770101863268</v>
      </c>
      <c r="K62" s="42">
        <f>J62*C5*3</f>
        <v>5631.493992403176</v>
      </c>
      <c r="L62" s="7">
        <f>J62*C5*6</f>
        <v>11262.987984806352</v>
      </c>
      <c r="M62" s="1">
        <f>J62*C5*9</f>
        <v>16894.48197720953</v>
      </c>
      <c r="N62" s="1">
        <f>J62*C5*12</f>
        <v>22525.975969612704</v>
      </c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15716.68890069408</v>
      </c>
      <c r="J63" s="30">
        <f>I63/C5/12</f>
        <v>0.4233519976267382</v>
      </c>
      <c r="K63" s="42">
        <f>J63*C5*3</f>
        <v>3929.1722251735196</v>
      </c>
      <c r="L63" s="7">
        <f>J63*C5*6</f>
        <v>7858.344450347039</v>
      </c>
      <c r="M63" s="1">
        <f>J63*C5*9</f>
        <v>11787.51667552056</v>
      </c>
      <c r="N63" s="1">
        <f>J63*C5*12</f>
        <v>15716.688900694078</v>
      </c>
    </row>
    <row r="64" spans="2:14" ht="25.5">
      <c r="B64" s="1" t="s">
        <v>102</v>
      </c>
      <c r="C64" s="3" t="s">
        <v>156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63.75">
      <c r="B65" s="1" t="s">
        <v>104</v>
      </c>
      <c r="C65" s="4" t="s">
        <v>398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51">
      <c r="B66" s="1" t="s">
        <v>105</v>
      </c>
      <c r="C66" s="3" t="s">
        <v>106</v>
      </c>
      <c r="D66" s="1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104495.53187311137</v>
      </c>
      <c r="J67" s="31">
        <f t="shared" si="4"/>
        <v>2.814739951975288</v>
      </c>
      <c r="K67" s="43">
        <f t="shared" si="4"/>
        <v>26123.88296827784</v>
      </c>
      <c r="L67" s="6">
        <f t="shared" si="4"/>
        <v>52247.76593655568</v>
      </c>
      <c r="M67" s="2">
        <f t="shared" si="4"/>
        <v>78371.64890483352</v>
      </c>
      <c r="N67" s="2">
        <f t="shared" si="4"/>
        <v>104495.53187311137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51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6070.648022291996</v>
      </c>
      <c r="J69" s="30">
        <f>I69/C5/12</f>
        <v>0.1635217814238613</v>
      </c>
      <c r="K69" s="42">
        <f>J69*C5*3</f>
        <v>1517.662005572999</v>
      </c>
      <c r="L69" s="7">
        <f>J69*C5*6</f>
        <v>3035.324011145998</v>
      </c>
      <c r="M69" s="1">
        <f>J69*C5*9</f>
        <v>4552.986016718997</v>
      </c>
      <c r="N69" s="1">
        <f>J69*C5*12</f>
        <v>6070.648022291996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2064.022141848495</v>
      </c>
      <c r="J70" s="30">
        <f>I70/C5/12</f>
        <v>0.05559745455410714</v>
      </c>
      <c r="K70" s="42">
        <f>J70*C5*3</f>
        <v>516.0055354621237</v>
      </c>
      <c r="L70" s="7">
        <f>J70*C5*6</f>
        <v>1032.0110709242474</v>
      </c>
      <c r="M70" s="1">
        <f>J70*C5*9</f>
        <v>1548.0166063863712</v>
      </c>
      <c r="N70" s="1">
        <f>J70*C5*12</f>
        <v>2064.022141848495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1746.2935533264995</v>
      </c>
      <c r="J71" s="30">
        <f>I71/C5/12</f>
        <v>0.04703897041639729</v>
      </c>
      <c r="K71" s="42">
        <f>J71*C5*3</f>
        <v>436.57338833162487</v>
      </c>
      <c r="L71" s="7">
        <f>J71*C5*6</f>
        <v>873.1467766632497</v>
      </c>
      <c r="M71" s="1">
        <f>J71*C5*9</f>
        <v>1309.7201649948747</v>
      </c>
      <c r="N71" s="1">
        <f>J71*C5*12</f>
        <v>1746.2935533264995</v>
      </c>
    </row>
    <row r="72" spans="2:14" ht="12.75">
      <c r="B72" s="1"/>
      <c r="C72" s="3"/>
      <c r="D72" s="1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10766.0768508297</v>
      </c>
      <c r="J72" s="30">
        <f>I72/C5/12</f>
        <v>0.29000002291834215</v>
      </c>
      <c r="K72" s="42">
        <f>J72*C5*3</f>
        <v>2691.519212707425</v>
      </c>
      <c r="L72" s="7">
        <f>J72*C5*6</f>
        <v>5383.03842541485</v>
      </c>
      <c r="M72" s="1">
        <f>J72*C5*9</f>
        <v>8074.557638122275</v>
      </c>
      <c r="N72" s="1">
        <f>J72*C5*12</f>
        <v>10766.0768508297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20647.04056829669</v>
      </c>
      <c r="J74" s="31">
        <f t="shared" si="5"/>
        <v>0.5561582293127079</v>
      </c>
      <c r="K74" s="43">
        <f t="shared" si="5"/>
        <v>5161.760142074172</v>
      </c>
      <c r="L74" s="6">
        <f t="shared" si="5"/>
        <v>10323.520284148344</v>
      </c>
      <c r="M74" s="2">
        <f t="shared" si="5"/>
        <v>15485.280426222518</v>
      </c>
      <c r="N74" s="2">
        <f t="shared" si="5"/>
        <v>20647.04056829669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356724.2785983306</v>
      </c>
      <c r="J80" s="31">
        <f>J33+J42+J43+J50+J59+J67+J74</f>
        <v>9.608890072252498</v>
      </c>
      <c r="K80" s="43">
        <f>J80*C5*3</f>
        <v>89181.06964958266</v>
      </c>
      <c r="L80" s="6">
        <f>L33+L42+L43+L50+L59+L67+L74</f>
        <v>178362.1392991653</v>
      </c>
      <c r="M80" s="2">
        <f>M33+M42+M43+M50+M59+M67+M74</f>
        <v>267543.20894874795</v>
      </c>
      <c r="N80" s="2">
        <f>N33+N42+N43+N50+N59+N67+N74</f>
        <v>356724.2785983306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37344.052219537356</v>
      </c>
      <c r="J81" s="30">
        <f>I81/C5/12</f>
        <v>1.0059166537247028</v>
      </c>
      <c r="K81" s="42">
        <f>J81*C5*3</f>
        <v>9336.013054884339</v>
      </c>
      <c r="L81" s="7">
        <f>J81*C5*6</f>
        <v>18672.026109768678</v>
      </c>
      <c r="M81" s="1">
        <f>J81*C5*9</f>
        <v>28008.03916465302</v>
      </c>
      <c r="N81" s="1">
        <f>J81*C5*12</f>
        <v>37344.052219537356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99979.46558887478</v>
      </c>
      <c r="J82" s="30">
        <f>I82/C5/12</f>
        <v>2.693093102888526</v>
      </c>
      <c r="K82" s="42">
        <f>J82*C5*3</f>
        <v>24994.866397218695</v>
      </c>
      <c r="L82" s="7">
        <f>J82*C5*6</f>
        <v>49989.73279443739</v>
      </c>
      <c r="M82" s="1">
        <f>J82*C5*9</f>
        <v>74984.59919165609</v>
      </c>
      <c r="N82" s="1">
        <f>J82*C5*12</f>
        <v>99979.46558887478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494047.79640674277</v>
      </c>
      <c r="J83" s="31">
        <f>J80+J81+J82</f>
        <v>13.307899828865725</v>
      </c>
      <c r="K83" s="43">
        <f>J83*C5*3</f>
        <v>123511.94910168569</v>
      </c>
      <c r="L83" s="6">
        <f>SUM(L80:L82)</f>
        <v>247023.89820337138</v>
      </c>
      <c r="M83" s="2">
        <f>SUM(M80:M82)</f>
        <v>370535.8473050571</v>
      </c>
      <c r="N83" s="2">
        <f>SUM(N80:N82)</f>
        <v>494047.79640674277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24702.38935512692</v>
      </c>
      <c r="J84" s="30">
        <f>I84/C5/12</f>
        <v>0.6653949789121689</v>
      </c>
      <c r="K84" s="42">
        <f>J84*C5*3</f>
        <v>6175.59733878173</v>
      </c>
      <c r="L84" s="7">
        <f>J84*C5*6</f>
        <v>12351.19467756346</v>
      </c>
      <c r="M84" s="1"/>
      <c r="N84" s="1"/>
    </row>
    <row r="85" spans="2:14" ht="25.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518750.1857618697</v>
      </c>
      <c r="J85" s="31">
        <f>J83+J84</f>
        <v>13.973294807777894</v>
      </c>
      <c r="K85" s="43">
        <f>J85*C5*3</f>
        <v>129687.5464404674</v>
      </c>
      <c r="L85" s="6">
        <f>SUM(L83:L84)</f>
        <v>259375.09288093486</v>
      </c>
      <c r="M85" s="2">
        <f>M83+M84</f>
        <v>370535.8473050571</v>
      </c>
      <c r="N85" s="2">
        <f>N83+N84</f>
        <v>494047.79640674277</v>
      </c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>
        <v>9184.92</v>
      </c>
      <c r="M86" s="2">
        <v>9184.92</v>
      </c>
      <c r="N86" s="2">
        <v>9184.92</v>
      </c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14.24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4">
      <pane xSplit="1" ySplit="15" topLeftCell="B63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R66" sqref="R66"/>
    </sheetView>
  </sheetViews>
  <sheetFormatPr defaultColWidth="9.140625" defaultRowHeight="12.75"/>
  <cols>
    <col min="3" max="3" width="37.00390625" style="0" customWidth="1"/>
    <col min="4" max="4" width="16.7109375" style="0" customWidth="1"/>
    <col min="5" max="5" width="18.00390625" style="0" hidden="1" customWidth="1"/>
    <col min="6" max="6" width="16.140625" style="0" hidden="1" customWidth="1"/>
    <col min="7" max="7" width="12.7109375" style="0" hidden="1" customWidth="1"/>
    <col min="8" max="8" width="14.57421875" style="0" hidden="1" customWidth="1"/>
    <col min="9" max="9" width="12.7109375" style="0" hidden="1" customWidth="1"/>
    <col min="10" max="10" width="11.140625" style="0" hidden="1" customWidth="1"/>
    <col min="11" max="11" width="14.8515625" style="0" hidden="1" customWidth="1"/>
    <col min="12" max="12" width="13.140625" style="0" customWidth="1"/>
    <col min="13" max="13" width="10.28125" style="0" customWidth="1"/>
    <col min="14" max="14" width="10.8515625" style="0" customWidth="1"/>
    <col min="15" max="15" width="14.28125" style="0" customWidth="1"/>
    <col min="16" max="16" width="12.8515625" style="0" customWidth="1"/>
    <col min="17" max="17" width="10.8515625" style="0" customWidth="1"/>
    <col min="18" max="18" width="13.28125" style="0" customWidth="1"/>
  </cols>
  <sheetData>
    <row r="4" spans="2:3" ht="12.75">
      <c r="B4" s="5" t="s">
        <v>487</v>
      </c>
      <c r="C4" s="5" t="s">
        <v>498</v>
      </c>
    </row>
    <row r="5" spans="2:3" ht="12.75">
      <c r="B5" t="s">
        <v>488</v>
      </c>
      <c r="C5">
        <v>4648.8</v>
      </c>
    </row>
    <row r="6" spans="2:3" ht="12.75">
      <c r="B6" t="s">
        <v>489</v>
      </c>
      <c r="C6">
        <v>2444</v>
      </c>
    </row>
    <row r="7" spans="2:3" ht="12.75">
      <c r="B7" t="s">
        <v>490</v>
      </c>
      <c r="C7">
        <v>948</v>
      </c>
    </row>
    <row r="8" spans="2:3" ht="12.75">
      <c r="B8" t="s">
        <v>491</v>
      </c>
      <c r="C8">
        <v>627.4</v>
      </c>
    </row>
    <row r="9" spans="2:3" ht="12.75">
      <c r="B9" t="s">
        <v>492</v>
      </c>
      <c r="C9">
        <v>6</v>
      </c>
    </row>
    <row r="10" spans="2:3" ht="12.75">
      <c r="B10" t="s">
        <v>493</v>
      </c>
      <c r="C10">
        <v>89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60682.12892864741</v>
      </c>
      <c r="J27" s="30">
        <f>I27/C5/12</f>
        <v>1.087774065863725</v>
      </c>
      <c r="K27" s="42">
        <f>J27*C5*3</f>
        <v>15170.532232161853</v>
      </c>
      <c r="L27" s="7">
        <f>J27*C5*6</f>
        <v>30341.064464323706</v>
      </c>
      <c r="M27" s="1">
        <f>J27*C5*9</f>
        <v>45511.59669648556</v>
      </c>
      <c r="N27" s="1">
        <f>J27*C5*12</f>
        <v>60682.12892864741</v>
      </c>
    </row>
    <row r="28" spans="2:14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20631.922210607136</v>
      </c>
      <c r="J28" s="30">
        <f>I28/C5/12</f>
        <v>0.36984315326190154</v>
      </c>
      <c r="K28" s="42">
        <f>J28*C5*3</f>
        <v>5157.980552651783</v>
      </c>
      <c r="L28" s="7">
        <f>J28*C5*6</f>
        <v>10315.961105303566</v>
      </c>
      <c r="M28" s="1">
        <f>J28*C5*9</f>
        <v>15473.94165795535</v>
      </c>
      <c r="N28" s="1">
        <f>J28*C5*12</f>
        <v>20631.922210607132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4124.454016300174</v>
      </c>
      <c r="J29" s="30">
        <f>I29/C5/12</f>
        <v>0.07393402627739369</v>
      </c>
      <c r="K29" s="42">
        <f>J29*C5*3</f>
        <v>1031.1135040750432</v>
      </c>
      <c r="L29" s="7">
        <f>J29*C5*6</f>
        <v>2062.2270081500865</v>
      </c>
      <c r="M29" s="1">
        <f>J29*C5*9</f>
        <v>3093.34051222513</v>
      </c>
      <c r="N29" s="1">
        <f>J29*C5*12</f>
        <v>4124.454016300173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7"/>
      <c r="M30" s="1"/>
      <c r="N30" s="1"/>
    </row>
    <row r="31" spans="2:14" ht="25.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85438.50515555473</v>
      </c>
      <c r="J33" s="31">
        <f t="shared" si="0"/>
        <v>1.5315512454030202</v>
      </c>
      <c r="K33" s="43">
        <f t="shared" si="0"/>
        <v>21359.626288888678</v>
      </c>
      <c r="L33" s="6">
        <f t="shared" si="0"/>
        <v>42719.252577777355</v>
      </c>
      <c r="M33" s="2">
        <f t="shared" si="0"/>
        <v>64078.87886666604</v>
      </c>
      <c r="N33" s="2">
        <f t="shared" si="0"/>
        <v>85438.50515555471</v>
      </c>
    </row>
    <row r="34" spans="2:14" ht="38.25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12.7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24874.5757819338</v>
      </c>
      <c r="J35" s="30">
        <f>I35/C5/12</f>
        <v>0.44589599792659396</v>
      </c>
      <c r="K35" s="42">
        <f>J35*C5*3</f>
        <v>6218.643945483451</v>
      </c>
      <c r="L35" s="7">
        <f>J35*C5*6</f>
        <v>12437.287890966902</v>
      </c>
      <c r="M35" s="1">
        <f>J35*C5*9</f>
        <v>18655.931836450352</v>
      </c>
      <c r="N35" s="1">
        <f>J35*C5*12</f>
        <v>24874.575781933803</v>
      </c>
    </row>
    <row r="36" spans="2:14" ht="12.75">
      <c r="B36" s="1" t="s">
        <v>63</v>
      </c>
      <c r="C36" s="3" t="s">
        <v>311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8457.356717983266</v>
      </c>
      <c r="J36" s="30">
        <f>I36/C5/12</f>
        <v>0.1516046563626324</v>
      </c>
      <c r="K36" s="42">
        <f>J36*C5*3</f>
        <v>2114.3391794958166</v>
      </c>
      <c r="L36" s="7">
        <f>J36*C5*6</f>
        <v>4228.678358991633</v>
      </c>
      <c r="M36" s="1">
        <f>J36*C5*9</f>
        <v>6343.01753848745</v>
      </c>
      <c r="N36" s="1">
        <f>J36*C5*12</f>
        <v>8457.356717983266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3524.570530339567</v>
      </c>
      <c r="J37" s="30">
        <f>I37/C5/12</f>
        <v>0.06318065110601243</v>
      </c>
      <c r="K37" s="42">
        <f>J37*C5*3</f>
        <v>881.1426325848918</v>
      </c>
      <c r="L37" s="7">
        <f>J37*C5*6</f>
        <v>1762.2852651697835</v>
      </c>
      <c r="M37" s="1">
        <f>J37*C5*9</f>
        <v>2643.4278977546755</v>
      </c>
      <c r="N37" s="1">
        <f>J37*C5*12</f>
        <v>3524.570530339567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1683.9080026844883</v>
      </c>
      <c r="J38" s="30">
        <f>I38/C5/12</f>
        <v>0.030185352540521</v>
      </c>
      <c r="K38" s="42">
        <f>J38*C5*3</f>
        <v>420.97700067112214</v>
      </c>
      <c r="L38" s="7">
        <f>J38*C5*6</f>
        <v>841.9540013422443</v>
      </c>
      <c r="M38" s="1">
        <f>J38*C5*9</f>
        <v>1262.9310020133664</v>
      </c>
      <c r="N38" s="1">
        <f>J38*C5*12</f>
        <v>1683.9080026844886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25.5">
      <c r="B40" s="1" t="s">
        <v>70</v>
      </c>
      <c r="C40" s="4" t="s">
        <v>150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1001.0854461180002</v>
      </c>
      <c r="J41" s="30">
        <f>I41/C5/12</f>
        <v>0.017945230420000863</v>
      </c>
      <c r="K41" s="42">
        <f>J41*C5*3</f>
        <v>250.27136152950004</v>
      </c>
      <c r="L41" s="7">
        <f>J41*C5*6</f>
        <v>500.5427230590001</v>
      </c>
      <c r="M41" s="1">
        <f>J41*C5*9</f>
        <v>750.8140845885001</v>
      </c>
      <c r="N41" s="1">
        <f>J41*C5*12</f>
        <v>1001.0854461180002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39541.49647905912</v>
      </c>
      <c r="J42" s="31">
        <f t="shared" si="1"/>
        <v>0.7088118883557607</v>
      </c>
      <c r="K42" s="43">
        <f t="shared" si="1"/>
        <v>9885.374119764781</v>
      </c>
      <c r="L42" s="6">
        <f t="shared" si="1"/>
        <v>19770.748239529563</v>
      </c>
      <c r="M42" s="2">
        <f t="shared" si="1"/>
        <v>29656.122359294342</v>
      </c>
      <c r="N42" s="2">
        <f t="shared" si="1"/>
        <v>39541.496479059126</v>
      </c>
    </row>
    <row r="43" spans="2:14" ht="12.7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166798.94227024648</v>
      </c>
      <c r="J43" s="31">
        <f>I43/C5/12</f>
        <v>2.9899999689928314</v>
      </c>
      <c r="K43" s="43">
        <f>J43*C5*3</f>
        <v>41699.73556756163</v>
      </c>
      <c r="L43" s="6">
        <f>J43*C5*6</f>
        <v>83399.47113512325</v>
      </c>
      <c r="M43" s="2">
        <f>J43*C5*9</f>
        <v>125099.20670268488</v>
      </c>
      <c r="N43" s="50">
        <f>J43*C5*12</f>
        <v>166798.9422702465</v>
      </c>
    </row>
    <row r="44" spans="2:14" ht="38.2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63.75">
      <c r="B45" s="1" t="s">
        <v>76</v>
      </c>
      <c r="C45" s="3" t="s">
        <v>77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18319.49515125398</v>
      </c>
      <c r="J45" s="30">
        <f>I45/C5/12</f>
        <v>0.32839111081092576</v>
      </c>
      <c r="K45" s="42">
        <f>J45*C5*3</f>
        <v>4579.873787813495</v>
      </c>
      <c r="L45" s="7">
        <f>J45*C5*6</f>
        <v>9159.74757562699</v>
      </c>
      <c r="M45" s="1">
        <f>J45*C5*9</f>
        <v>13739.621363440487</v>
      </c>
      <c r="N45" s="1">
        <f>J45*C5*12</f>
        <v>18319.49515125398</v>
      </c>
    </row>
    <row r="46" spans="2:14" ht="89.25">
      <c r="B46" s="1" t="s">
        <v>78</v>
      </c>
      <c r="C46" s="3" t="s">
        <v>473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6228.616788400137</v>
      </c>
      <c r="J46" s="30">
        <f>I46/C5/12</f>
        <v>0.11165277039953209</v>
      </c>
      <c r="K46" s="42">
        <f>J46*C5*3</f>
        <v>1557.1541971000343</v>
      </c>
      <c r="L46" s="7">
        <f>J46*C5*6</f>
        <v>3114.3083942000685</v>
      </c>
      <c r="M46" s="1">
        <f>J46*C5*9</f>
        <v>4671.462591300103</v>
      </c>
      <c r="N46" s="1">
        <f>J46*C5*12</f>
        <v>6228.616788400137</v>
      </c>
    </row>
    <row r="47" spans="2:14" ht="89.2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3660.111434102453</v>
      </c>
      <c r="J47" s="30">
        <f>I47/C5/12</f>
        <v>0.06561032657356831</v>
      </c>
      <c r="K47" s="42">
        <f>J47*C5*3</f>
        <v>915.0278585256133</v>
      </c>
      <c r="L47" s="7">
        <f>J47*C5*6</f>
        <v>1830.0557170512266</v>
      </c>
      <c r="M47" s="1">
        <f>J47*C5*9</f>
        <v>2745.08357557684</v>
      </c>
      <c r="N47" s="1">
        <f>J47*C5*12</f>
        <v>3660.111434102453</v>
      </c>
    </row>
    <row r="48" spans="2:14" ht="12.75">
      <c r="B48" s="1"/>
      <c r="C48" s="3"/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4" t="s">
        <v>251</v>
      </c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28208.22337375657</v>
      </c>
      <c r="J50" s="31">
        <f t="shared" si="2"/>
        <v>0.5056542077840261</v>
      </c>
      <c r="K50" s="43">
        <f t="shared" si="2"/>
        <v>7052.055843439142</v>
      </c>
      <c r="L50" s="6">
        <f t="shared" si="2"/>
        <v>14104.111686878285</v>
      </c>
      <c r="M50" s="2">
        <f t="shared" si="2"/>
        <v>21156.167530317427</v>
      </c>
      <c r="N50" s="2">
        <f t="shared" si="2"/>
        <v>28208.22337375657</v>
      </c>
    </row>
    <row r="51" spans="2:14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25.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21909.650276749093</v>
      </c>
      <c r="J52" s="30">
        <f>I52/C5/12</f>
        <v>0.3927474164793261</v>
      </c>
      <c r="K52" s="42">
        <f>J52*C5*3</f>
        <v>5477.412569187273</v>
      </c>
      <c r="L52" s="7">
        <f>J52*C5*6</f>
        <v>10954.825138374546</v>
      </c>
      <c r="M52" s="1">
        <f>J52*C5*9</f>
        <v>16432.23770756182</v>
      </c>
      <c r="N52" s="1">
        <f>J52*C5*12</f>
        <v>21909.650276749093</v>
      </c>
    </row>
    <row r="53" spans="2:14" ht="25.5">
      <c r="B53" s="1" t="s">
        <v>84</v>
      </c>
      <c r="C53" s="3" t="s">
        <v>427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7449.28222219481</v>
      </c>
      <c r="J53" s="30">
        <f>I53/C5/12</f>
        <v>0.13353414182503745</v>
      </c>
      <c r="K53" s="42">
        <f>J53*C5*3</f>
        <v>1862.3205555487025</v>
      </c>
      <c r="L53" s="7">
        <f>J53*C5*6</f>
        <v>3724.641111097405</v>
      </c>
      <c r="M53" s="1">
        <f>J53*C5*9</f>
        <v>5586.961666646108</v>
      </c>
      <c r="N53" s="1">
        <f>J53*C5*12</f>
        <v>7449.28222219481</v>
      </c>
    </row>
    <row r="54" spans="2:14" ht="63.75">
      <c r="B54" s="1" t="s">
        <v>86</v>
      </c>
      <c r="C54" s="3" t="s">
        <v>458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14640.44103599265</v>
      </c>
      <c r="J54" s="30">
        <f>I54/C5/12</f>
        <v>0.2624412220356624</v>
      </c>
      <c r="K54" s="42">
        <f>J54*C5*3</f>
        <v>3660.110258998162</v>
      </c>
      <c r="L54" s="7">
        <f>J54*C5*6</f>
        <v>7320.220517996324</v>
      </c>
      <c r="M54" s="1">
        <f>J54*C5*9</f>
        <v>10980.330776994486</v>
      </c>
      <c r="N54" s="1">
        <f>J54*C5*12</f>
        <v>14640.441035992648</v>
      </c>
    </row>
    <row r="55" spans="2:14" ht="25.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38.2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63.7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3"/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43999.37353493655</v>
      </c>
      <c r="J59" s="31">
        <f t="shared" si="3"/>
        <v>0.7887227803400259</v>
      </c>
      <c r="K59" s="43">
        <f t="shared" si="3"/>
        <v>10999.843383734138</v>
      </c>
      <c r="L59" s="6">
        <f t="shared" si="3"/>
        <v>21999.686767468276</v>
      </c>
      <c r="M59" s="2">
        <f t="shared" si="3"/>
        <v>32999.530151202416</v>
      </c>
      <c r="N59" s="2">
        <f t="shared" si="3"/>
        <v>43999.37353493655</v>
      </c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51">
      <c r="B61" s="1" t="s">
        <v>96</v>
      </c>
      <c r="C61" s="3" t="s">
        <v>341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99555.97767160293</v>
      </c>
      <c r="J61" s="30">
        <f>I61/C5/12</f>
        <v>1.7846178524852816</v>
      </c>
      <c r="K61" s="42">
        <f>J61*C5*3</f>
        <v>24888.994417900733</v>
      </c>
      <c r="L61" s="7">
        <f>J61*C5*6</f>
        <v>49777.988835801465</v>
      </c>
      <c r="M61" s="1">
        <f>J61*C5*9</f>
        <v>74666.9832537022</v>
      </c>
      <c r="N61" s="1">
        <f>J61*C5*12</f>
        <v>99555.97767160293</v>
      </c>
    </row>
    <row r="62" spans="2:14" ht="63.75">
      <c r="B62" s="1" t="s">
        <v>98</v>
      </c>
      <c r="C62" s="4" t="s">
        <v>342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33849.034194503525</v>
      </c>
      <c r="J62" s="30">
        <f>I62/C5/12</f>
        <v>0.606770101863268</v>
      </c>
      <c r="K62" s="42">
        <f>J62*C5*3</f>
        <v>8462.25854862588</v>
      </c>
      <c r="L62" s="7">
        <f>J62*C5*6</f>
        <v>16924.51709725176</v>
      </c>
      <c r="M62" s="1">
        <f>J62*C5*9</f>
        <v>25386.775645877642</v>
      </c>
      <c r="N62" s="1">
        <f>J62*C5*12</f>
        <v>33849.03419450352</v>
      </c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23616.94519880617</v>
      </c>
      <c r="J63" s="30">
        <f>I63/C5/12</f>
        <v>0.4233519976267382</v>
      </c>
      <c r="K63" s="42">
        <f>J63*C5*3</f>
        <v>5904.236299701542</v>
      </c>
      <c r="L63" s="7">
        <f>J63*C5*6</f>
        <v>11808.472599403083</v>
      </c>
      <c r="M63" s="1">
        <f>J63*C5*9</f>
        <v>17712.708899104626</v>
      </c>
      <c r="N63" s="1">
        <f>J63*C5*12</f>
        <v>23616.945198806166</v>
      </c>
    </row>
    <row r="64" spans="2:14" ht="51">
      <c r="B64" s="1" t="s">
        <v>102</v>
      </c>
      <c r="C64" s="4" t="s">
        <v>213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38.25">
      <c r="B65" s="1" t="s">
        <v>104</v>
      </c>
      <c r="C65" s="4" t="s">
        <v>397</v>
      </c>
      <c r="D65" s="3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38.25">
      <c r="B66" s="1" t="s">
        <v>105</v>
      </c>
      <c r="C66" s="3" t="s">
        <v>106</v>
      </c>
      <c r="D66" s="3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157021.95706491263</v>
      </c>
      <c r="J67" s="31">
        <f t="shared" si="4"/>
        <v>2.814739951975288</v>
      </c>
      <c r="K67" s="43">
        <f t="shared" si="4"/>
        <v>39255.489266228156</v>
      </c>
      <c r="L67" s="6">
        <f t="shared" si="4"/>
        <v>78510.97853245631</v>
      </c>
      <c r="M67" s="2">
        <f t="shared" si="4"/>
        <v>117766.46779868446</v>
      </c>
      <c r="N67" s="2">
        <f t="shared" si="4"/>
        <v>157021.95706491263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51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9122.160689798959</v>
      </c>
      <c r="J69" s="30">
        <f>I69/C5/12</f>
        <v>0.16352178142386134</v>
      </c>
      <c r="K69" s="42">
        <f>J69*C5*3</f>
        <v>2280.5401724497397</v>
      </c>
      <c r="L69" s="7">
        <f>J69*C5*6</f>
        <v>4561.080344899479</v>
      </c>
      <c r="M69" s="1">
        <f>J69*C5*9</f>
        <v>6841.62051734922</v>
      </c>
      <c r="N69" s="1">
        <f>J69*C5*12</f>
        <v>9122.160689798959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3101.537360773599</v>
      </c>
      <c r="J70" s="30">
        <f>I70/C5/12</f>
        <v>0.05559745455410714</v>
      </c>
      <c r="K70" s="42">
        <f>J70*C5*3</f>
        <v>775.3843401933998</v>
      </c>
      <c r="L70" s="7">
        <f>J70*C5*6</f>
        <v>1550.7686803867996</v>
      </c>
      <c r="M70" s="1">
        <f>J70*C5*9</f>
        <v>2326.153020580199</v>
      </c>
      <c r="N70" s="1">
        <f>J70*C5*12</f>
        <v>3101.537360773599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2624.0971880609727</v>
      </c>
      <c r="J71" s="30">
        <f>I71/C5/12</f>
        <v>0.04703897041639729</v>
      </c>
      <c r="K71" s="42">
        <f>J71*C5*3</f>
        <v>656.0242970152432</v>
      </c>
      <c r="L71" s="7">
        <f>J71*C5*6</f>
        <v>1312.0485940304864</v>
      </c>
      <c r="M71" s="1">
        <f>J71*C5*9</f>
        <v>1968.0728910457296</v>
      </c>
      <c r="N71" s="1">
        <f>J71*C5*12</f>
        <v>2624.0971880609727</v>
      </c>
    </row>
    <row r="72" spans="2:14" ht="12.75">
      <c r="B72" s="1"/>
      <c r="C72" s="3"/>
      <c r="D72" s="1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16177.825278513468</v>
      </c>
      <c r="J72" s="30">
        <f>I72/C5/12</f>
        <v>0.29000002291834215</v>
      </c>
      <c r="K72" s="42">
        <f>J72*C5*3</f>
        <v>4044.456319628367</v>
      </c>
      <c r="L72" s="7">
        <f>J72*C5*6</f>
        <v>8088.912639256734</v>
      </c>
      <c r="M72" s="1">
        <f>J72*C5*9</f>
        <v>12133.368958885101</v>
      </c>
      <c r="N72" s="1">
        <f>J72*C5*12</f>
        <v>16177.825278513468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31025.620517147</v>
      </c>
      <c r="J74" s="31">
        <f t="shared" si="5"/>
        <v>0.5561582293127079</v>
      </c>
      <c r="K74" s="43">
        <f t="shared" si="5"/>
        <v>7756.40512928675</v>
      </c>
      <c r="L74" s="6">
        <f t="shared" si="5"/>
        <v>15512.8102585735</v>
      </c>
      <c r="M74" s="2">
        <f t="shared" si="5"/>
        <v>23269.215387860248</v>
      </c>
      <c r="N74" s="2">
        <f t="shared" si="5"/>
        <v>31025.620517147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552034.118395613</v>
      </c>
      <c r="J80" s="31">
        <f>J33+J42+J43+J50+J59+J67+J74</f>
        <v>9.895638272163659</v>
      </c>
      <c r="K80" s="43">
        <f>J80*C5*3</f>
        <v>138008.52959890326</v>
      </c>
      <c r="L80" s="6">
        <f>L33+L42+L43+L50+L59+L67+L74</f>
        <v>276017.0591978066</v>
      </c>
      <c r="M80" s="2">
        <f>M33+M42+M43+M50+M59+M67+M74</f>
        <v>414025.58879670984</v>
      </c>
      <c r="N80" s="2">
        <f>N33+N42+N43+N50+N59+N67+N74</f>
        <v>552034.1183956132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57790.26598731908</v>
      </c>
      <c r="J81" s="30">
        <f>I81/C5/12</f>
        <v>1.035935187347973</v>
      </c>
      <c r="K81" s="42">
        <f>J81*C5*3</f>
        <v>14447.566496829771</v>
      </c>
      <c r="L81" s="7">
        <f>J81*C5*6</f>
        <v>28895.132993659543</v>
      </c>
      <c r="M81" s="1">
        <f>J81*C5*9</f>
        <v>43342.699490489314</v>
      </c>
      <c r="N81" s="1">
        <f>J81*C5*12</f>
        <v>57790.265987319086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154719.147126414</v>
      </c>
      <c r="J82" s="30">
        <f>I82/C5/12</f>
        <v>2.773460303849273</v>
      </c>
      <c r="K82" s="42">
        <f>J82*C5*3</f>
        <v>38679.7867816035</v>
      </c>
      <c r="L82" s="7">
        <f>J82*C5*6</f>
        <v>77359.573563207</v>
      </c>
      <c r="M82" s="1">
        <f>J82*C5*9</f>
        <v>116039.3603448105</v>
      </c>
      <c r="N82" s="1">
        <f>J82*C5*12</f>
        <v>154719.147126414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764543.5315093461</v>
      </c>
      <c r="J83" s="31">
        <f>J80+J81+J82</f>
        <v>13.705033763360905</v>
      </c>
      <c r="K83" s="43">
        <f>J83*C5*3</f>
        <v>191135.88287733652</v>
      </c>
      <c r="L83" s="6">
        <f>SUM(L80:L82)</f>
        <v>382271.7657546731</v>
      </c>
      <c r="M83" s="2">
        <f>SUM(M80:M82)</f>
        <v>573407.6486320096</v>
      </c>
      <c r="N83" s="2">
        <f>SUM(N80:N82)</f>
        <v>764543.5315093462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38227.175855550195</v>
      </c>
      <c r="J84" s="30">
        <f>I84/C5/12</f>
        <v>0.6852516752629745</v>
      </c>
      <c r="K84" s="42">
        <f>J84*C5*3</f>
        <v>9556.793963887549</v>
      </c>
      <c r="L84" s="7">
        <f>J84*C5*6</f>
        <v>19113.587927775097</v>
      </c>
      <c r="M84" s="1"/>
      <c r="N84" s="1"/>
    </row>
    <row r="85" spans="2:14" ht="12.7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802770.7073648963</v>
      </c>
      <c r="J85" s="31">
        <f>J83+J84</f>
        <v>14.39028543862388</v>
      </c>
      <c r="K85" s="43">
        <f>J85*C5*3</f>
        <v>200692.67684122408</v>
      </c>
      <c r="L85" s="6">
        <f>SUM(L83:L84)</f>
        <v>401385.3536824482</v>
      </c>
      <c r="M85" s="2">
        <f>M83+M84</f>
        <v>573407.6486320096</v>
      </c>
      <c r="N85" s="2">
        <f>N83+N84</f>
        <v>764543.5315093462</v>
      </c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>
        <v>9184.92</v>
      </c>
      <c r="M86" s="2">
        <v>9184.92</v>
      </c>
      <c r="N86" s="2">
        <v>9184.92</v>
      </c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15.51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1">
      <pane xSplit="1" ySplit="18" topLeftCell="B60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R62" sqref="R62"/>
    </sheetView>
  </sheetViews>
  <sheetFormatPr defaultColWidth="9.140625" defaultRowHeight="12.75"/>
  <cols>
    <col min="2" max="2" width="9.28125" style="0" customWidth="1"/>
    <col min="3" max="3" width="38.00390625" style="0" customWidth="1"/>
    <col min="4" max="4" width="17.140625" style="0" hidden="1" customWidth="1"/>
    <col min="5" max="6" width="16.57421875" style="0" hidden="1" customWidth="1"/>
    <col min="7" max="7" width="13.140625" style="0" hidden="1" customWidth="1"/>
    <col min="8" max="8" width="14.8515625" style="0" hidden="1" customWidth="1"/>
    <col min="9" max="9" width="11.140625" style="0" hidden="1" customWidth="1"/>
    <col min="10" max="10" width="10.421875" style="0" hidden="1" customWidth="1"/>
    <col min="11" max="11" width="14.7109375" style="0" hidden="1" customWidth="1"/>
    <col min="12" max="12" width="13.57421875" style="0" customWidth="1"/>
    <col min="13" max="13" width="11.00390625" style="0" customWidth="1"/>
    <col min="14" max="14" width="10.8515625" style="0" customWidth="1"/>
    <col min="15" max="15" width="12.57421875" style="0" customWidth="1"/>
    <col min="16" max="16" width="10.8515625" style="0" customWidth="1"/>
    <col min="17" max="17" width="11.28125" style="0" customWidth="1"/>
    <col min="18" max="18" width="15.8515625" style="0" customWidth="1"/>
  </cols>
  <sheetData>
    <row r="4" spans="2:3" ht="12.75">
      <c r="B4" s="5" t="s">
        <v>487</v>
      </c>
      <c r="C4" s="5" t="s">
        <v>497</v>
      </c>
    </row>
    <row r="5" spans="2:3" ht="12.75">
      <c r="B5" t="s">
        <v>488</v>
      </c>
      <c r="C5">
        <v>4775.7</v>
      </c>
    </row>
    <row r="6" spans="2:3" ht="12.75">
      <c r="B6" t="s">
        <v>489</v>
      </c>
      <c r="C6">
        <v>2527</v>
      </c>
    </row>
    <row r="7" spans="2:3" ht="12.75">
      <c r="B7" t="s">
        <v>490</v>
      </c>
      <c r="C7">
        <v>954</v>
      </c>
    </row>
    <row r="8" spans="2:3" ht="12.75">
      <c r="B8" t="s">
        <v>491</v>
      </c>
      <c r="C8">
        <v>600.9</v>
      </c>
    </row>
    <row r="9" spans="2:3" ht="12.75">
      <c r="B9" t="s">
        <v>492</v>
      </c>
      <c r="C9">
        <v>6</v>
      </c>
    </row>
    <row r="10" spans="2:3" ht="12.75">
      <c r="B10" t="s">
        <v>493</v>
      </c>
      <c r="C10">
        <v>89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58119.04888942338</v>
      </c>
      <c r="J27" s="30">
        <f>I27/C5/12</f>
        <v>1.014145376409451</v>
      </c>
      <c r="K27" s="42">
        <f>J27*C5*3</f>
        <v>14529.762222355845</v>
      </c>
      <c r="L27" s="7">
        <f>J27*C5*6</f>
        <v>29059.52444471169</v>
      </c>
      <c r="M27" s="1">
        <f>J27*C5*9</f>
        <v>43589.286667067536</v>
      </c>
      <c r="N27" s="1">
        <f>J27*C5*12</f>
        <v>58119.04888942338</v>
      </c>
    </row>
    <row r="28" spans="2:14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19760.47506591302</v>
      </c>
      <c r="J28" s="30">
        <f>I28/C5/12</f>
        <v>0.34480940081930433</v>
      </c>
      <c r="K28" s="42">
        <f>J28*C5*3</f>
        <v>4940.118766478255</v>
      </c>
      <c r="L28" s="7">
        <f>J28*C5*6</f>
        <v>9880.23753295651</v>
      </c>
      <c r="M28" s="1">
        <f>J28*C5*9</f>
        <v>14820.356299434763</v>
      </c>
      <c r="N28" s="1">
        <f>J28*C5*12</f>
        <v>19760.47506591302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3950.246124314273</v>
      </c>
      <c r="J29" s="30">
        <f>I29/C5/12</f>
        <v>0.06892961807194535</v>
      </c>
      <c r="K29" s="42">
        <f>J29*C5*3</f>
        <v>987.5615310785681</v>
      </c>
      <c r="L29" s="7">
        <f>J29*C5*6</f>
        <v>1975.1230621571362</v>
      </c>
      <c r="M29" s="1">
        <f>J29*C5*9</f>
        <v>2962.6845932357046</v>
      </c>
      <c r="N29" s="1">
        <f>J29*C5*12</f>
        <v>3950.2461243142725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7"/>
      <c r="M30" s="1"/>
      <c r="N30" s="1"/>
    </row>
    <row r="31" spans="2:14" ht="25.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81829.77007965067</v>
      </c>
      <c r="J33" s="31">
        <f t="shared" si="0"/>
        <v>1.4278843953007008</v>
      </c>
      <c r="K33" s="43">
        <f t="shared" si="0"/>
        <v>20457.442519912667</v>
      </c>
      <c r="L33" s="6">
        <f t="shared" si="0"/>
        <v>40914.885039825334</v>
      </c>
      <c r="M33" s="2">
        <f t="shared" si="0"/>
        <v>61372.327559738005</v>
      </c>
      <c r="N33" s="2">
        <f t="shared" si="0"/>
        <v>81829.77007965067</v>
      </c>
    </row>
    <row r="34" spans="2:14" ht="38.25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12.7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25527.240063947986</v>
      </c>
      <c r="J35" s="30">
        <f>I35/C5/12</f>
        <v>0.4454362722384151</v>
      </c>
      <c r="K35" s="42">
        <f>J35*C5*3</f>
        <v>6381.8100159869955</v>
      </c>
      <c r="L35" s="7">
        <f>J35*C5*6</f>
        <v>12763.620031973991</v>
      </c>
      <c r="M35" s="1">
        <f>J35*C5*9</f>
        <v>19145.43004796099</v>
      </c>
      <c r="N35" s="1">
        <f>J35*C5*12</f>
        <v>25527.240063947982</v>
      </c>
    </row>
    <row r="36" spans="2:14" ht="12.75">
      <c r="B36" s="1" t="s">
        <v>63</v>
      </c>
      <c r="C36" s="3" t="s">
        <v>311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8679.262598850162</v>
      </c>
      <c r="J36" s="30">
        <f>I36/C5/12</f>
        <v>0.1514483496110546</v>
      </c>
      <c r="K36" s="42">
        <f>J36*C5*3</f>
        <v>2169.81564971254</v>
      </c>
      <c r="L36" s="7">
        <f>J36*C5*6</f>
        <v>4339.63129942508</v>
      </c>
      <c r="M36" s="1">
        <f>J36*C5*9</f>
        <v>6509.44694913762</v>
      </c>
      <c r="N36" s="1">
        <f>J36*C5*12</f>
        <v>8679.26259885016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3617.0489434292554</v>
      </c>
      <c r="J37" s="30">
        <f>I37/C5/12</f>
        <v>0.06311551087500707</v>
      </c>
      <c r="K37" s="42">
        <f>J37*C5*3</f>
        <v>904.2622358573137</v>
      </c>
      <c r="L37" s="7">
        <f>J37*C5*6</f>
        <v>1808.5244717146275</v>
      </c>
      <c r="M37" s="1">
        <f>J37*C5*9</f>
        <v>2712.7867075719414</v>
      </c>
      <c r="N37" s="1">
        <f>J37*C5*12</f>
        <v>3617.048943429255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1728.090730349264</v>
      </c>
      <c r="J38" s="30">
        <f>I38/C5/12</f>
        <v>0.0301542309739805</v>
      </c>
      <c r="K38" s="42">
        <f>J38*C5*3</f>
        <v>432.022682587316</v>
      </c>
      <c r="L38" s="7">
        <f>J38*C5*6</f>
        <v>864.045365174632</v>
      </c>
      <c r="M38" s="1">
        <f>J38*C5*9</f>
        <v>1296.068047761948</v>
      </c>
      <c r="N38" s="1">
        <f>J38*C5*12</f>
        <v>1728.090730349264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25.5">
      <c r="B40" s="1" t="s">
        <v>70</v>
      </c>
      <c r="C40" s="4" t="s">
        <v>154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1028.4124430015775</v>
      </c>
      <c r="J41" s="30">
        <f>I41/C5/12</f>
        <v>0.017945230420000863</v>
      </c>
      <c r="K41" s="42">
        <f>J41*C5*3</f>
        <v>257.10311075039436</v>
      </c>
      <c r="L41" s="7">
        <f>J41*C5*6</f>
        <v>514.2062215007887</v>
      </c>
      <c r="M41" s="1">
        <f>J41*C5*9</f>
        <v>771.309332251183</v>
      </c>
      <c r="N41" s="1">
        <f>J41*C5*12</f>
        <v>1028.4124430015775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40580.05477957825</v>
      </c>
      <c r="J42" s="31">
        <f t="shared" si="1"/>
        <v>0.7080995941184581</v>
      </c>
      <c r="K42" s="43">
        <f t="shared" si="1"/>
        <v>10145.01369489456</v>
      </c>
      <c r="L42" s="6">
        <f t="shared" si="1"/>
        <v>20290.02738978912</v>
      </c>
      <c r="M42" s="2">
        <f t="shared" si="1"/>
        <v>30435.04108468368</v>
      </c>
      <c r="N42" s="2">
        <f t="shared" si="1"/>
        <v>40580.05477957824</v>
      </c>
    </row>
    <row r="43" spans="2:14" ht="12.7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171352.11422302877</v>
      </c>
      <c r="J43" s="31">
        <f>I43/C5/12</f>
        <v>2.9899999689928314</v>
      </c>
      <c r="K43" s="43">
        <f>J43*C5*3</f>
        <v>42838.02855575719</v>
      </c>
      <c r="L43" s="6">
        <f>J43*C5*6</f>
        <v>85676.05711151438</v>
      </c>
      <c r="M43" s="2">
        <f>J43*C5*9</f>
        <v>128514.08566727157</v>
      </c>
      <c r="N43" s="50">
        <f>J43*C5*12</f>
        <v>171352.11422302877</v>
      </c>
    </row>
    <row r="44" spans="2:14" ht="25.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76.5">
      <c r="B45" s="1" t="s">
        <v>76</v>
      </c>
      <c r="C45" s="3" t="s">
        <v>192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18819.56913479686</v>
      </c>
      <c r="J45" s="30">
        <f>I45/C5/12</f>
        <v>0.3283911108109258</v>
      </c>
      <c r="K45" s="42">
        <f>J45*C5*3</f>
        <v>4704.892283699215</v>
      </c>
      <c r="L45" s="7">
        <f>J45*C5*6</f>
        <v>9409.78456739843</v>
      </c>
      <c r="M45" s="1">
        <f>J45*C5*9</f>
        <v>14114.676851097645</v>
      </c>
      <c r="N45" s="1">
        <f>J45*C5*12</f>
        <v>18819.56913479686</v>
      </c>
    </row>
    <row r="46" spans="2:14" ht="76.5">
      <c r="B46" s="1" t="s">
        <v>78</v>
      </c>
      <c r="C46" s="3" t="s">
        <v>474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6398.641627164544</v>
      </c>
      <c r="J46" s="30">
        <f>I46/C5/12</f>
        <v>0.11165277039953209</v>
      </c>
      <c r="K46" s="42">
        <f>J46*C5*3</f>
        <v>1599.660406791136</v>
      </c>
      <c r="L46" s="7">
        <f>J46*C5*6</f>
        <v>3199.320813582272</v>
      </c>
      <c r="M46" s="1">
        <f>J46*C5*9</f>
        <v>4798.981220373408</v>
      </c>
      <c r="N46" s="1">
        <f>J46*C5*12</f>
        <v>6398.641627164544</v>
      </c>
    </row>
    <row r="47" spans="2:14" ht="89.2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3760.0228394086826</v>
      </c>
      <c r="J47" s="30">
        <f>I47/C5/12</f>
        <v>0.06561032657356831</v>
      </c>
      <c r="K47" s="42">
        <f>J47*C5*3</f>
        <v>940.0057098521706</v>
      </c>
      <c r="L47" s="7">
        <f>J47*C5*6</f>
        <v>1880.0114197043413</v>
      </c>
      <c r="M47" s="1">
        <f>J47*C5*9</f>
        <v>2820.017129556512</v>
      </c>
      <c r="N47" s="1">
        <f>J47*C5*12</f>
        <v>3760.0228394086826</v>
      </c>
    </row>
    <row r="48" spans="2:14" ht="12.75">
      <c r="B48" s="1"/>
      <c r="C48" s="3"/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4" t="s">
        <v>252</v>
      </c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28978.233601370084</v>
      </c>
      <c r="J50" s="31">
        <f t="shared" si="2"/>
        <v>0.5056542077840263</v>
      </c>
      <c r="K50" s="43">
        <f t="shared" si="2"/>
        <v>7244.558400342521</v>
      </c>
      <c r="L50" s="6">
        <f t="shared" si="2"/>
        <v>14489.116800685042</v>
      </c>
      <c r="M50" s="2">
        <f t="shared" si="2"/>
        <v>21733.675201027567</v>
      </c>
      <c r="N50" s="2">
        <f t="shared" si="2"/>
        <v>28978.233601370084</v>
      </c>
    </row>
    <row r="51" spans="2:14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25.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22507.726042563812</v>
      </c>
      <c r="J52" s="30">
        <f>I52/C5/12</f>
        <v>0.3927474164793261</v>
      </c>
      <c r="K52" s="42">
        <f>J52*C5*3</f>
        <v>5626.931510640953</v>
      </c>
      <c r="L52" s="7">
        <f>J52*C5*6</f>
        <v>11253.863021281906</v>
      </c>
      <c r="M52" s="1">
        <f>J52*C5*9</f>
        <v>16880.79453192286</v>
      </c>
      <c r="N52" s="1">
        <f>J52*C5*12</f>
        <v>22507.726042563812</v>
      </c>
    </row>
    <row r="53" spans="2:14" ht="38.25">
      <c r="B53" s="1" t="s">
        <v>84</v>
      </c>
      <c r="C53" s="3" t="s">
        <v>85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7652.628013365977</v>
      </c>
      <c r="J53" s="30">
        <f>I53/C5/12</f>
        <v>0.13353414182503745</v>
      </c>
      <c r="K53" s="42">
        <f>J53*C5*3</f>
        <v>1913.1570033414941</v>
      </c>
      <c r="L53" s="7">
        <f>J53*C5*6</f>
        <v>3826.3140066829883</v>
      </c>
      <c r="M53" s="1">
        <f>J53*C5*9</f>
        <v>5739.471010024483</v>
      </c>
      <c r="N53" s="1">
        <f>J53*C5*12</f>
        <v>7652.628013365977</v>
      </c>
    </row>
    <row r="54" spans="2:14" ht="51">
      <c r="B54" s="1" t="s">
        <v>86</v>
      </c>
      <c r="C54" s="3" t="s">
        <v>87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15040.086528908556</v>
      </c>
      <c r="J54" s="30">
        <f>I54/C5/12</f>
        <v>0.2624412220356624</v>
      </c>
      <c r="K54" s="42">
        <f>J54*C5*3</f>
        <v>3760.0216322271385</v>
      </c>
      <c r="L54" s="7">
        <f>J54*C5*6</f>
        <v>7520.043264454277</v>
      </c>
      <c r="M54" s="1">
        <f>J54*C5*9</f>
        <v>11280.064896681415</v>
      </c>
      <c r="N54" s="1">
        <f>J54*C5*12</f>
        <v>15040.086528908554</v>
      </c>
    </row>
    <row r="55" spans="2:14" ht="25.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38.2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63.7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3"/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45200.44058483835</v>
      </c>
      <c r="J59" s="31">
        <f t="shared" si="3"/>
        <v>0.7887227803400259</v>
      </c>
      <c r="K59" s="43">
        <f t="shared" si="3"/>
        <v>11300.110146209587</v>
      </c>
      <c r="L59" s="6">
        <f t="shared" si="3"/>
        <v>22600.220292419173</v>
      </c>
      <c r="M59" s="2">
        <f t="shared" si="3"/>
        <v>33900.330438628764</v>
      </c>
      <c r="N59" s="2">
        <f t="shared" si="3"/>
        <v>45200.44058483835</v>
      </c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51">
      <c r="B61" s="1" t="s">
        <v>96</v>
      </c>
      <c r="C61" s="3" t="s">
        <v>360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102273.59373736751</v>
      </c>
      <c r="J61" s="30">
        <f>I61/C5/12</f>
        <v>1.7846178524852816</v>
      </c>
      <c r="K61" s="42">
        <f>J61*C5*3</f>
        <v>25568.398434341878</v>
      </c>
      <c r="L61" s="7">
        <f>J61*C5*6</f>
        <v>51136.796868683756</v>
      </c>
      <c r="M61" s="1">
        <f>J61*C5*9</f>
        <v>76705.19530302563</v>
      </c>
      <c r="N61" s="1">
        <f>J61*C5*12</f>
        <v>102273.59373736751</v>
      </c>
    </row>
    <row r="62" spans="2:14" ht="38.25">
      <c r="B62" s="1" t="s">
        <v>98</v>
      </c>
      <c r="C62" s="3" t="s">
        <v>212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34773.02370562091</v>
      </c>
      <c r="J62" s="30">
        <f>I62/C5/12</f>
        <v>0.606770101863268</v>
      </c>
      <c r="K62" s="42">
        <f>J62*C5*3</f>
        <v>8693.255926405225</v>
      </c>
      <c r="L62" s="7">
        <f>J62*C5*6</f>
        <v>17386.51185281045</v>
      </c>
      <c r="M62" s="1">
        <f>J62*C5*9</f>
        <v>26079.767779215676</v>
      </c>
      <c r="N62" s="1">
        <f>J62*C5*12</f>
        <v>34773.0237056209</v>
      </c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24261.625620792165</v>
      </c>
      <c r="J63" s="30">
        <f>I63/C5/12</f>
        <v>0.4233519976267382</v>
      </c>
      <c r="K63" s="42">
        <f>J63*C5*3</f>
        <v>6065.40640519804</v>
      </c>
      <c r="L63" s="7">
        <f>J63*C5*6</f>
        <v>12130.81281039608</v>
      </c>
      <c r="M63" s="1">
        <f>J63*C5*9</f>
        <v>18196.219215594123</v>
      </c>
      <c r="N63" s="1">
        <f>J63*C5*12</f>
        <v>24261.62562079216</v>
      </c>
    </row>
    <row r="64" spans="2:14" ht="25.5">
      <c r="B64" s="1" t="s">
        <v>102</v>
      </c>
      <c r="C64" s="3" t="s">
        <v>158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51">
      <c r="B65" s="1" t="s">
        <v>104</v>
      </c>
      <c r="C65" s="4" t="s">
        <v>396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38.25">
      <c r="B66" s="1" t="s">
        <v>105</v>
      </c>
      <c r="C66" s="3" t="s">
        <v>106</v>
      </c>
      <c r="D66" s="1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161308.24306378057</v>
      </c>
      <c r="J67" s="31">
        <f t="shared" si="4"/>
        <v>2.814739951975288</v>
      </c>
      <c r="K67" s="43">
        <f t="shared" si="4"/>
        <v>40327.06076594514</v>
      </c>
      <c r="L67" s="6">
        <f t="shared" si="4"/>
        <v>80654.12153189028</v>
      </c>
      <c r="M67" s="2">
        <f t="shared" si="4"/>
        <v>120981.18229783542</v>
      </c>
      <c r="N67" s="2">
        <f t="shared" si="4"/>
        <v>161308.24306378057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51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9371.171658551213</v>
      </c>
      <c r="J69" s="30">
        <f>I69/C5/12</f>
        <v>0.1635217814238613</v>
      </c>
      <c r="K69" s="42">
        <f>J69*C5*3</f>
        <v>2342.7929146378033</v>
      </c>
      <c r="L69" s="7">
        <f>J69*C5*6</f>
        <v>4685.585829275607</v>
      </c>
      <c r="M69" s="1">
        <f>J69*C5*9</f>
        <v>7028.37874391341</v>
      </c>
      <c r="N69" s="1">
        <f>J69*C5*12</f>
        <v>9371.171658551213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3186.2011645685934</v>
      </c>
      <c r="J70" s="30">
        <f>I70/C5/12</f>
        <v>0.05559745455410714</v>
      </c>
      <c r="K70" s="42">
        <f>J70*C5*3</f>
        <v>796.5502911421484</v>
      </c>
      <c r="L70" s="7">
        <f>J70*C5*6</f>
        <v>1593.1005822842967</v>
      </c>
      <c r="M70" s="1">
        <f>J70*C5*9</f>
        <v>2389.650873426445</v>
      </c>
      <c r="N70" s="1">
        <f>J70*C5*12</f>
        <v>3186.2011645685934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2695.7281322110625</v>
      </c>
      <c r="J71" s="30">
        <f>I71/C5/12</f>
        <v>0.04703897041639729</v>
      </c>
      <c r="K71" s="42">
        <f>J71*C5*3</f>
        <v>673.9320330527655</v>
      </c>
      <c r="L71" s="7">
        <f>J71*C5*6</f>
        <v>1347.864066105531</v>
      </c>
      <c r="M71" s="1">
        <f>J71*C5*9</f>
        <v>2021.7960991582968</v>
      </c>
      <c r="N71" s="1">
        <f>J71*C5*12</f>
        <v>2695.728132211062</v>
      </c>
    </row>
    <row r="72" spans="2:14" ht="25.5">
      <c r="B72" s="1"/>
      <c r="C72" s="3"/>
      <c r="D72" s="3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16619.43731341352</v>
      </c>
      <c r="J72" s="30">
        <f>I72/C5/12</f>
        <v>0.2900000229183422</v>
      </c>
      <c r="K72" s="42">
        <f>J72*C5*3</f>
        <v>4154.859328353381</v>
      </c>
      <c r="L72" s="7">
        <f>J72*C5*6</f>
        <v>8309.718656706762</v>
      </c>
      <c r="M72" s="1">
        <f>J72*C5*9</f>
        <v>12464.577985060143</v>
      </c>
      <c r="N72" s="1">
        <f>J72*C5*12</f>
        <v>16619.437313413524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31872.538268744393</v>
      </c>
      <c r="J74" s="31">
        <f t="shared" si="5"/>
        <v>0.5561582293127079</v>
      </c>
      <c r="K74" s="43">
        <f t="shared" si="5"/>
        <v>7968.134567186098</v>
      </c>
      <c r="L74" s="6">
        <f t="shared" si="5"/>
        <v>15936.269134372196</v>
      </c>
      <c r="M74" s="2">
        <f t="shared" si="5"/>
        <v>23904.403701558294</v>
      </c>
      <c r="N74" s="2">
        <f t="shared" si="5"/>
        <v>31872.538268744393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561121.394600991</v>
      </c>
      <c r="J80" s="31">
        <f>J33+J42+J43+J50+J59+J67+J74</f>
        <v>9.791259127824038</v>
      </c>
      <c r="K80" s="43">
        <f>J80*C5*3</f>
        <v>140280.3486502478</v>
      </c>
      <c r="L80" s="6">
        <f>L33+L42+L43+L50+L59+L67+L74</f>
        <v>280560.6973004955</v>
      </c>
      <c r="M80" s="2">
        <f>M33+M42+M43+M50+M59+M67+M74</f>
        <v>420841.0459507433</v>
      </c>
      <c r="N80" s="2">
        <f>N33+N42+N43+N50+N59+N67+N74</f>
        <v>561121.394600991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58741.57695073435</v>
      </c>
      <c r="J81" s="30">
        <f>I81/C5/12</f>
        <v>1.0250081480329996</v>
      </c>
      <c r="K81" s="42">
        <f>J81*C5*3</f>
        <v>14685.394237683588</v>
      </c>
      <c r="L81" s="7">
        <f>J81*C5*6</f>
        <v>29370.788475367175</v>
      </c>
      <c r="M81" s="1">
        <f>J81*C5*9</f>
        <v>44056.182713050766</v>
      </c>
      <c r="N81" s="1">
        <f>J81*C5*12</f>
        <v>58741.57695073435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157266.04699608954</v>
      </c>
      <c r="J82" s="30">
        <f>I82/C5/12</f>
        <v>2.744205858060765</v>
      </c>
      <c r="K82" s="42">
        <f>J82*C5*3</f>
        <v>39316.511749022386</v>
      </c>
      <c r="L82" s="7">
        <f>J82*C5*6</f>
        <v>78633.02349804477</v>
      </c>
      <c r="M82" s="1">
        <f>J82*C5*9</f>
        <v>117949.53524706715</v>
      </c>
      <c r="N82" s="1">
        <f>J82*C5*12</f>
        <v>157266.04699608954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777129.0185478149</v>
      </c>
      <c r="J83" s="31">
        <f>J80+J81+J82</f>
        <v>13.560473133917801</v>
      </c>
      <c r="K83" s="43">
        <f>J83*C5*3</f>
        <v>194282.25463695373</v>
      </c>
      <c r="L83" s="6">
        <f>SUM(L80:L82)</f>
        <v>388564.50927390746</v>
      </c>
      <c r="M83" s="2">
        <f>SUM(M80:M82)</f>
        <v>582846.7639108612</v>
      </c>
      <c r="N83" s="2">
        <f>SUM(N80:N82)</f>
        <v>777129.0185478149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38856.45019562276</v>
      </c>
      <c r="J84" s="30">
        <f>I84/C5/12</f>
        <v>0.678023643926942</v>
      </c>
      <c r="K84" s="42">
        <f>J84*C5*3</f>
        <v>9714.11254890569</v>
      </c>
      <c r="L84" s="7">
        <f>J84*C5*6</f>
        <v>19428.22509781138</v>
      </c>
      <c r="M84" s="1"/>
      <c r="N84" s="1"/>
    </row>
    <row r="85" spans="2:14" ht="12.7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815985.4687434377</v>
      </c>
      <c r="J85" s="31">
        <f>J83+J84</f>
        <v>14.238496777844743</v>
      </c>
      <c r="K85" s="43">
        <f>J85*C5*3</f>
        <v>203996.36718585942</v>
      </c>
      <c r="L85" s="6">
        <f>SUM(L83:L84)</f>
        <v>407992.73437171883</v>
      </c>
      <c r="M85" s="2">
        <f>M83+M84</f>
        <v>582846.7639108612</v>
      </c>
      <c r="N85" s="2">
        <f>N83+N84</f>
        <v>777129.0185478149</v>
      </c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>
        <v>9184.92</v>
      </c>
      <c r="M86" s="2">
        <v>9184.92</v>
      </c>
      <c r="N86" s="2">
        <v>9184.92</v>
      </c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14.33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4">
      <pane xSplit="1" ySplit="15" topLeftCell="B61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P64" sqref="P64"/>
    </sheetView>
  </sheetViews>
  <sheetFormatPr defaultColWidth="9.140625" defaultRowHeight="12.75"/>
  <cols>
    <col min="3" max="3" width="38.7109375" style="0" customWidth="1"/>
    <col min="4" max="4" width="11.140625" style="0" hidden="1" customWidth="1"/>
    <col min="5" max="6" width="16.57421875" style="0" hidden="1" customWidth="1"/>
    <col min="7" max="7" width="14.57421875" style="0" hidden="1" customWidth="1"/>
    <col min="8" max="8" width="14.00390625" style="0" hidden="1" customWidth="1"/>
    <col min="9" max="9" width="12.28125" style="0" hidden="1" customWidth="1"/>
    <col min="10" max="10" width="10.57421875" style="0" hidden="1" customWidth="1"/>
    <col min="11" max="11" width="15.140625" style="0" hidden="1" customWidth="1"/>
    <col min="12" max="12" width="12.57421875" style="0" customWidth="1"/>
    <col min="13" max="13" width="10.421875" style="0" customWidth="1"/>
    <col min="14" max="14" width="11.00390625" style="0" customWidth="1"/>
    <col min="15" max="15" width="13.57421875" style="0" customWidth="1"/>
    <col min="16" max="16" width="11.421875" style="0" customWidth="1"/>
    <col min="17" max="17" width="11.7109375" style="0" customWidth="1"/>
    <col min="18" max="18" width="13.8515625" style="0" customWidth="1"/>
  </cols>
  <sheetData>
    <row r="4" spans="2:3" ht="12.75">
      <c r="B4" s="5" t="s">
        <v>487</v>
      </c>
      <c r="C4" s="5" t="s">
        <v>496</v>
      </c>
    </row>
    <row r="5" spans="2:3" ht="12.75">
      <c r="B5" t="s">
        <v>488</v>
      </c>
      <c r="C5">
        <v>4731.2</v>
      </c>
    </row>
    <row r="6" spans="2:3" ht="12.75">
      <c r="B6" t="s">
        <v>489</v>
      </c>
      <c r="C6">
        <v>2071</v>
      </c>
    </row>
    <row r="7" spans="2:3" ht="12.75">
      <c r="B7" t="s">
        <v>490</v>
      </c>
      <c r="C7">
        <v>932</v>
      </c>
    </row>
    <row r="8" spans="2:3" ht="12.75">
      <c r="B8" t="s">
        <v>491</v>
      </c>
      <c r="C8">
        <v>603.2</v>
      </c>
    </row>
    <row r="9" spans="2:3" ht="12.75">
      <c r="B9" t="s">
        <v>492</v>
      </c>
      <c r="C9">
        <v>6</v>
      </c>
    </row>
    <row r="10" spans="2:3" ht="12.75">
      <c r="B10" t="s">
        <v>493</v>
      </c>
      <c r="C10">
        <v>89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0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0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0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0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58341.50489282774</v>
      </c>
      <c r="J27" s="30">
        <f>I27/C5/12</f>
        <v>1.0276023153538874</v>
      </c>
      <c r="K27" s="42">
        <f>J27*C5*3</f>
        <v>14585.376223206935</v>
      </c>
      <c r="L27" s="7">
        <f>J27*C5*6</f>
        <v>29170.75244641387</v>
      </c>
      <c r="M27" s="1">
        <f>J27*C5*9</f>
        <v>43756.128669620804</v>
      </c>
      <c r="N27" s="1">
        <f>J27*C5*12</f>
        <v>58341.50489282774</v>
      </c>
    </row>
    <row r="28" spans="2:14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19836.11010111289</v>
      </c>
      <c r="J28" s="30">
        <f>I28/C5/12</f>
        <v>0.3493847597000213</v>
      </c>
      <c r="K28" s="42">
        <f>J28*C5*3</f>
        <v>4959.027525278223</v>
      </c>
      <c r="L28" s="7">
        <f>J28*C5*6</f>
        <v>9918.055050556446</v>
      </c>
      <c r="M28" s="1">
        <f>J28*C5*9</f>
        <v>14877.082575834667</v>
      </c>
      <c r="N28" s="1">
        <f>J28*C5*12</f>
        <v>19836.110101112892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3965.366054562106</v>
      </c>
      <c r="J29" s="30">
        <f>I29/C5/12</f>
        <v>0.06984426175463072</v>
      </c>
      <c r="K29" s="42">
        <f>J29*C5*3</f>
        <v>991.3415136405265</v>
      </c>
      <c r="L29" s="7">
        <f>J29*C5*6</f>
        <v>1982.683027281053</v>
      </c>
      <c r="M29" s="1">
        <f>J29*C5*9</f>
        <v>2974.0245409215795</v>
      </c>
      <c r="N29" s="1">
        <f>J29*C5*12</f>
        <v>3965.366054562106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7"/>
      <c r="M30" s="1"/>
      <c r="N30" s="1"/>
    </row>
    <row r="31" spans="2:14" ht="51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82142.98104850274</v>
      </c>
      <c r="J33" s="31">
        <f t="shared" si="0"/>
        <v>1.4468313368085393</v>
      </c>
      <c r="K33" s="43">
        <f t="shared" si="0"/>
        <v>20535.745262125685</v>
      </c>
      <c r="L33" s="6">
        <f t="shared" si="0"/>
        <v>41071.49052425137</v>
      </c>
      <c r="M33" s="2">
        <f t="shared" si="0"/>
        <v>61607.23578637705</v>
      </c>
      <c r="N33" s="2">
        <f t="shared" si="0"/>
        <v>82142.98104850274</v>
      </c>
    </row>
    <row r="34" spans="2:14" ht="38.25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12.7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22021.919538074057</v>
      </c>
      <c r="J35" s="30">
        <f>I35/C5/12</f>
        <v>0.3878846722831779</v>
      </c>
      <c r="K35" s="42">
        <f>J35*C5*3</f>
        <v>5505.479884518513</v>
      </c>
      <c r="L35" s="7">
        <f>J35*C5*6</f>
        <v>11010.959769037026</v>
      </c>
      <c r="M35" s="1">
        <f>J35*C5*9</f>
        <v>16516.43965355554</v>
      </c>
      <c r="N35" s="1">
        <f>J35*C5*12</f>
        <v>22021.919538074053</v>
      </c>
    </row>
    <row r="36" spans="2:14" ht="12.75">
      <c r="B36" s="1" t="s">
        <v>63</v>
      </c>
      <c r="C36" s="3" t="s">
        <v>311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7487.453485879642</v>
      </c>
      <c r="J36" s="30">
        <f>I36/C5/12</f>
        <v>0.13188080342336764</v>
      </c>
      <c r="K36" s="42">
        <f>J36*C5*3</f>
        <v>1871.8633714699108</v>
      </c>
      <c r="L36" s="7">
        <f>J36*C5*6</f>
        <v>3743.7267429398216</v>
      </c>
      <c r="M36" s="1">
        <f>J36*C5*9</f>
        <v>5615.590114409732</v>
      </c>
      <c r="N36" s="1">
        <f>J36*C5*12</f>
        <v>7487.453485879643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3120.367129307111</v>
      </c>
      <c r="J37" s="30">
        <f>I37/C5/12</f>
        <v>0.05496081207916088</v>
      </c>
      <c r="K37" s="42">
        <f>J37*C5*3</f>
        <v>780.0917823267778</v>
      </c>
      <c r="L37" s="7">
        <f>J37*C5*6</f>
        <v>1560.1835646535555</v>
      </c>
      <c r="M37" s="1">
        <f>J37*C5*9</f>
        <v>2340.2753469803333</v>
      </c>
      <c r="N37" s="1">
        <f>J37*C5*12</f>
        <v>3120.367129307111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1490.794732329457</v>
      </c>
      <c r="J38" s="30">
        <f>I38/C5/12</f>
        <v>0.026258220823636307</v>
      </c>
      <c r="K38" s="42">
        <f>J38*C5*3</f>
        <v>372.69868308236425</v>
      </c>
      <c r="L38" s="7">
        <f>J38*C5*6</f>
        <v>745.3973661647285</v>
      </c>
      <c r="M38" s="1">
        <f>J38*C5*9</f>
        <v>1118.0960492470929</v>
      </c>
      <c r="N38" s="1">
        <f>J38*C5*12</f>
        <v>1490.794732329457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25.5">
      <c r="B40" s="1" t="s">
        <v>70</v>
      </c>
      <c r="C40" s="4" t="s">
        <v>150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1018.8296899572969</v>
      </c>
      <c r="J41" s="30">
        <f>I41/C5/12</f>
        <v>0.017945230420000863</v>
      </c>
      <c r="K41" s="42">
        <f>J41*C5*3</f>
        <v>254.70742248932424</v>
      </c>
      <c r="L41" s="7">
        <f>J41*C5*6</f>
        <v>509.4148449786485</v>
      </c>
      <c r="M41" s="1">
        <f>J41*C5*9</f>
        <v>764.1222674679727</v>
      </c>
      <c r="N41" s="1">
        <f>J41*C5*12</f>
        <v>1018.829689957297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35139.364575547566</v>
      </c>
      <c r="J42" s="31">
        <f t="shared" si="1"/>
        <v>0.6189297390293436</v>
      </c>
      <c r="K42" s="43">
        <f t="shared" si="1"/>
        <v>8784.84114388689</v>
      </c>
      <c r="L42" s="6">
        <f t="shared" si="1"/>
        <v>17569.68228777378</v>
      </c>
      <c r="M42" s="2">
        <f t="shared" si="1"/>
        <v>26354.52343166067</v>
      </c>
      <c r="N42" s="2">
        <f t="shared" si="1"/>
        <v>35139.36457554756</v>
      </c>
    </row>
    <row r="43" spans="2:14" ht="12.7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169755.4542395866</v>
      </c>
      <c r="J43" s="31">
        <f>I43/C5/12</f>
        <v>2.9899999689928314</v>
      </c>
      <c r="K43" s="43">
        <f>J43*C5*3</f>
        <v>42438.86355989665</v>
      </c>
      <c r="L43" s="6">
        <f>J43*C5*6</f>
        <v>84877.7271197933</v>
      </c>
      <c r="M43" s="2">
        <f>J43*C5*9</f>
        <v>127316.59067968995</v>
      </c>
      <c r="N43" s="50">
        <f>J43*C5*12</f>
        <v>169755.4542395866</v>
      </c>
    </row>
    <row r="44" spans="2:14" ht="25.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63.75">
      <c r="B45" s="1" t="s">
        <v>76</v>
      </c>
      <c r="C45" s="3" t="s">
        <v>276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18644.208281623825</v>
      </c>
      <c r="J45" s="30">
        <f>I45/C5/12</f>
        <v>0.3283911108109258</v>
      </c>
      <c r="K45" s="42">
        <f>J45*C5*3</f>
        <v>4661.052070405956</v>
      </c>
      <c r="L45" s="7">
        <f>J45*C5*6</f>
        <v>9322.104140811913</v>
      </c>
      <c r="M45" s="1">
        <f>J45*C5*9</f>
        <v>13983.156211217869</v>
      </c>
      <c r="N45" s="1">
        <f>J45*C5*12</f>
        <v>18644.208281623825</v>
      </c>
    </row>
    <row r="46" spans="2:14" ht="63.75">
      <c r="B46" s="1" t="s">
        <v>78</v>
      </c>
      <c r="C46" s="3" t="s">
        <v>430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6339.019047771194</v>
      </c>
      <c r="J46" s="30">
        <f>I46/C5/12</f>
        <v>0.11165277039953209</v>
      </c>
      <c r="K46" s="42">
        <f>J46*C5*3</f>
        <v>1584.7547619427987</v>
      </c>
      <c r="L46" s="7">
        <f>J46*C5*6</f>
        <v>3169.5095238855974</v>
      </c>
      <c r="M46" s="1">
        <f>J46*C5*9</f>
        <v>4754.264285828396</v>
      </c>
      <c r="N46" s="1">
        <f>J46*C5*12</f>
        <v>6339.019047771195</v>
      </c>
    </row>
    <row r="47" spans="2:14" ht="89.2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3724.986925018397</v>
      </c>
      <c r="J47" s="30">
        <f>I47/C5/12</f>
        <v>0.06561032657356831</v>
      </c>
      <c r="K47" s="42">
        <f>J47*C5*3</f>
        <v>931.2467312545992</v>
      </c>
      <c r="L47" s="7">
        <f>J47*C5*6</f>
        <v>1862.4934625091985</v>
      </c>
      <c r="M47" s="1">
        <f>J47*C5*9</f>
        <v>2793.740193763798</v>
      </c>
      <c r="N47" s="1">
        <f>J47*C5*12</f>
        <v>3724.986925018397</v>
      </c>
    </row>
    <row r="48" spans="2:14" ht="12.75">
      <c r="B48" s="1"/>
      <c r="C48" s="4" t="s">
        <v>274</v>
      </c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4" t="s">
        <v>253</v>
      </c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28708.21425441342</v>
      </c>
      <c r="J50" s="31">
        <f t="shared" si="2"/>
        <v>0.5056542077840263</v>
      </c>
      <c r="K50" s="43">
        <f t="shared" si="2"/>
        <v>7177.053563603355</v>
      </c>
      <c r="L50" s="6">
        <f t="shared" si="2"/>
        <v>14354.10712720671</v>
      </c>
      <c r="M50" s="2">
        <f t="shared" si="2"/>
        <v>21531.160690810066</v>
      </c>
      <c r="N50" s="2">
        <f t="shared" si="2"/>
        <v>28708.21425441342</v>
      </c>
    </row>
    <row r="51" spans="2:14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38.25">
      <c r="B52" s="1" t="s">
        <v>82</v>
      </c>
      <c r="C52" s="3" t="s">
        <v>434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22297.99892216385</v>
      </c>
      <c r="J52" s="30">
        <f>I52/C5/12</f>
        <v>0.3927474164793261</v>
      </c>
      <c r="K52" s="42">
        <f>J52*C5*3</f>
        <v>5574.499730540962</v>
      </c>
      <c r="L52" s="7">
        <f>J52*C5*6</f>
        <v>11148.999461081925</v>
      </c>
      <c r="M52" s="1">
        <f>J52*C5*9</f>
        <v>16723.499191622886</v>
      </c>
      <c r="N52" s="1">
        <f>J52*C5*12</f>
        <v>22297.99892216385</v>
      </c>
    </row>
    <row r="53" spans="2:14" ht="25.5">
      <c r="B53" s="1" t="s">
        <v>84</v>
      </c>
      <c r="C53" s="3" t="s">
        <v>427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7581.320781631406</v>
      </c>
      <c r="J53" s="30">
        <f>I53/C5/12</f>
        <v>0.13353414182503745</v>
      </c>
      <c r="K53" s="42">
        <f>J53*C5*3</f>
        <v>1895.3301954078515</v>
      </c>
      <c r="L53" s="7">
        <f>J53*C5*6</f>
        <v>3790.660390815703</v>
      </c>
      <c r="M53" s="1">
        <f>J53*C5*9</f>
        <v>5685.990586223555</v>
      </c>
      <c r="N53" s="1">
        <f>J53*C5*12</f>
        <v>7581.320781631406</v>
      </c>
    </row>
    <row r="54" spans="2:14" ht="38.25">
      <c r="B54" s="1" t="s">
        <v>86</v>
      </c>
      <c r="C54" s="3" t="s">
        <v>152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14899.942916341512</v>
      </c>
      <c r="J54" s="30">
        <f>I54/C5/12</f>
        <v>0.2624412220356624</v>
      </c>
      <c r="K54" s="42">
        <f>J54*C5*3</f>
        <v>3724.9857290853774</v>
      </c>
      <c r="L54" s="7">
        <f>J54*C5*6</f>
        <v>7449.971458170755</v>
      </c>
      <c r="M54" s="1">
        <f>J54*C5*9</f>
        <v>11174.957187256132</v>
      </c>
      <c r="N54" s="1">
        <f>J54*C5*12</f>
        <v>14899.94291634151</v>
      </c>
    </row>
    <row r="55" spans="2:14" ht="25.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38.2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63.7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4" t="s">
        <v>457</v>
      </c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44779.26262013677</v>
      </c>
      <c r="J59" s="31">
        <f t="shared" si="3"/>
        <v>0.7887227803400259</v>
      </c>
      <c r="K59" s="43">
        <f t="shared" si="3"/>
        <v>11194.815655034192</v>
      </c>
      <c r="L59" s="6">
        <f t="shared" si="3"/>
        <v>22389.631310068384</v>
      </c>
      <c r="M59" s="2">
        <f t="shared" si="3"/>
        <v>33584.44696510257</v>
      </c>
      <c r="N59" s="2">
        <f t="shared" si="3"/>
        <v>44779.26262013677</v>
      </c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12.75">
      <c r="B61" s="1" t="s">
        <v>96</v>
      </c>
      <c r="C61" s="3" t="s">
        <v>97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101320.60780414037</v>
      </c>
      <c r="J61" s="30">
        <f>I61/C5/12</f>
        <v>1.7846178524852816</v>
      </c>
      <c r="K61" s="42">
        <f>J61*C5*3</f>
        <v>25330.15195103509</v>
      </c>
      <c r="L61" s="7">
        <f>J61*C5*6</f>
        <v>50660.30390207018</v>
      </c>
      <c r="M61" s="1">
        <f>J61*C5*9</f>
        <v>75990.45585310528</v>
      </c>
      <c r="N61" s="1">
        <f>J61*C5*12</f>
        <v>101320.60780414037</v>
      </c>
    </row>
    <row r="62" spans="2:14" ht="12.75">
      <c r="B62" s="1" t="s">
        <v>98</v>
      </c>
      <c r="C62" s="3" t="s">
        <v>99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34449.00847122592</v>
      </c>
      <c r="J62" s="30">
        <f>I62/C5/12</f>
        <v>0.606770101863268</v>
      </c>
      <c r="K62" s="42">
        <f>J62*C5*3</f>
        <v>8612.25211780648</v>
      </c>
      <c r="L62" s="7">
        <f>J62*C5*6</f>
        <v>17224.50423561296</v>
      </c>
      <c r="M62" s="1">
        <f>J62*C5*9</f>
        <v>25836.75635341944</v>
      </c>
      <c r="N62" s="1">
        <f>J62*C5*12</f>
        <v>34449.00847122592</v>
      </c>
    </row>
    <row r="63" spans="2:14" ht="12.75">
      <c r="B63" s="1" t="s">
        <v>100</v>
      </c>
      <c r="C63" s="3" t="s">
        <v>191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24035.555654059484</v>
      </c>
      <c r="J63" s="30">
        <f>I63/C5/12</f>
        <v>0.4233519976267382</v>
      </c>
      <c r="K63" s="42">
        <f>J63*C5*3</f>
        <v>6008.888913514871</v>
      </c>
      <c r="L63" s="7">
        <f>J63*C5*6</f>
        <v>12017.777827029742</v>
      </c>
      <c r="M63" s="1">
        <f>J63*C5*9</f>
        <v>18026.666740544613</v>
      </c>
      <c r="N63" s="1">
        <f>J63*C5*12</f>
        <v>24035.555654059484</v>
      </c>
    </row>
    <row r="64" spans="2:14" ht="63.75">
      <c r="B64" s="1" t="s">
        <v>102</v>
      </c>
      <c r="C64" s="4" t="s">
        <v>153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38.25">
      <c r="B65" s="1" t="s">
        <v>104</v>
      </c>
      <c r="C65" s="4" t="s">
        <v>395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38.25">
      <c r="B66" s="1" t="s">
        <v>105</v>
      </c>
      <c r="C66" s="3" t="s">
        <v>106</v>
      </c>
      <c r="D66" s="1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159805.17192942576</v>
      </c>
      <c r="J67" s="31">
        <f t="shared" si="4"/>
        <v>2.814739951975288</v>
      </c>
      <c r="K67" s="43">
        <f t="shared" si="4"/>
        <v>39951.29298235644</v>
      </c>
      <c r="L67" s="6">
        <f t="shared" si="4"/>
        <v>79902.58596471288</v>
      </c>
      <c r="M67" s="2">
        <f t="shared" si="4"/>
        <v>119853.87894706932</v>
      </c>
      <c r="N67" s="2">
        <f t="shared" si="4"/>
        <v>159805.17192942576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51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9283.851027270872</v>
      </c>
      <c r="J69" s="30">
        <f>I69/C5/12</f>
        <v>0.1635217814238613</v>
      </c>
      <c r="K69" s="42">
        <f>J69*C5*3</f>
        <v>2320.962756817718</v>
      </c>
      <c r="L69" s="7">
        <f>J69*C5*6</f>
        <v>4641.925513635436</v>
      </c>
      <c r="M69" s="1">
        <f>J69*C5*9</f>
        <v>6962.888270453153</v>
      </c>
      <c r="N69" s="1">
        <f>J69*C5*12</f>
        <v>9283.851027270872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3156.5121238367</v>
      </c>
      <c r="J70" s="30">
        <f>I70/C5/12</f>
        <v>0.05559745455410714</v>
      </c>
      <c r="K70" s="42">
        <f>J70*C5*3</f>
        <v>789.1280309591751</v>
      </c>
      <c r="L70" s="7">
        <f>J70*C5*6</f>
        <v>1578.2560619183503</v>
      </c>
      <c r="M70" s="1">
        <f>J70*C5*9</f>
        <v>2367.3840928775253</v>
      </c>
      <c r="N70" s="1">
        <f>J70*C5*12</f>
        <v>3156.5121238367005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2670.6093220087064</v>
      </c>
      <c r="J71" s="30">
        <f>I71/C5/12</f>
        <v>0.04703897041639729</v>
      </c>
      <c r="K71" s="42">
        <f>J71*C5*3</f>
        <v>667.6523305021766</v>
      </c>
      <c r="L71" s="7">
        <f>J71*C5*6</f>
        <v>1335.3046610043532</v>
      </c>
      <c r="M71" s="1">
        <f>J71*C5*9</f>
        <v>2002.95699150653</v>
      </c>
      <c r="N71" s="1">
        <f>J71*C5*12</f>
        <v>2670.6093220087064</v>
      </c>
    </row>
    <row r="72" spans="2:14" ht="12.75">
      <c r="B72" s="1"/>
      <c r="C72" s="3"/>
      <c r="D72" s="1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16464.577301175123</v>
      </c>
      <c r="J72" s="30">
        <f>I72/C5/12</f>
        <v>0.2900000229183421</v>
      </c>
      <c r="K72" s="42">
        <f>J72*C5*3</f>
        <v>4116.144325293781</v>
      </c>
      <c r="L72" s="7">
        <f>J72*C5*6</f>
        <v>8232.288650587561</v>
      </c>
      <c r="M72" s="1">
        <f>J72*C5*9</f>
        <v>12348.43297588134</v>
      </c>
      <c r="N72" s="1">
        <f>J72*C5*12</f>
        <v>16464.577301175123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31575.5497742914</v>
      </c>
      <c r="J74" s="31">
        <f t="shared" si="5"/>
        <v>0.5561582293127079</v>
      </c>
      <c r="K74" s="43">
        <f t="shared" si="5"/>
        <v>7893.88744357285</v>
      </c>
      <c r="L74" s="6">
        <f t="shared" si="5"/>
        <v>15787.7748871457</v>
      </c>
      <c r="M74" s="2">
        <f t="shared" si="5"/>
        <v>23681.662330718547</v>
      </c>
      <c r="N74" s="2">
        <f t="shared" si="5"/>
        <v>31575.5497742914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551905.9984419043</v>
      </c>
      <c r="J80" s="31">
        <f>J33+J42+J43+J50+J59+J67+J74</f>
        <v>9.72103621424276</v>
      </c>
      <c r="K80" s="43">
        <f>J80*C5*3</f>
        <v>137976.49961047602</v>
      </c>
      <c r="L80" s="6">
        <f>L33+L42+L43+L50+L59+L67+L74</f>
        <v>275952.99922095216</v>
      </c>
      <c r="M80" s="2">
        <f>M33+M42+M43+M50+M59+M67+M74</f>
        <v>413929.4988314282</v>
      </c>
      <c r="N80" s="2">
        <f>N33+N42+N43+N50+N59+N67+N74</f>
        <v>551905.9984419043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57776.853616676795</v>
      </c>
      <c r="J81" s="30">
        <f>I81/C5/12</f>
        <v>1.017656789269051</v>
      </c>
      <c r="K81" s="42">
        <f>J81*C5*3</f>
        <v>14444.2134041692</v>
      </c>
      <c r="L81" s="7">
        <f>J81*C5*6</f>
        <v>28888.4268083384</v>
      </c>
      <c r="M81" s="1">
        <f>J81*C5*9</f>
        <v>43332.6402125076</v>
      </c>
      <c r="N81" s="1">
        <f>J81*C5*12</f>
        <v>57776.8536166768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154683.23882055547</v>
      </c>
      <c r="J82" s="30">
        <f>I82/C5/12</f>
        <v>2.724524412773283</v>
      </c>
      <c r="K82" s="42">
        <f>J82*C5*3</f>
        <v>38670.80970513886</v>
      </c>
      <c r="L82" s="7">
        <f>J82*C5*6</f>
        <v>77341.61941027772</v>
      </c>
      <c r="M82" s="1">
        <f>J82*C5*9</f>
        <v>116012.42911541658</v>
      </c>
      <c r="N82" s="1">
        <f>J82*C5*12</f>
        <v>154683.23882055545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764366.0908791366</v>
      </c>
      <c r="J83" s="31">
        <f>J80+J81+J82</f>
        <v>13.463217416285094</v>
      </c>
      <c r="K83" s="43">
        <f>J83*C5*3</f>
        <v>191091.52271978412</v>
      </c>
      <c r="L83" s="6">
        <f>SUM(L80:L82)</f>
        <v>382183.04543956823</v>
      </c>
      <c r="M83" s="2">
        <f>SUM(M80:M82)</f>
        <v>573274.5681593524</v>
      </c>
      <c r="N83" s="2">
        <f>SUM(N80:N82)</f>
        <v>764366.0908791365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38218.3038242068</v>
      </c>
      <c r="J84" s="30">
        <f>I84/C5/12</f>
        <v>0.6731608581368856</v>
      </c>
      <c r="K84" s="42">
        <f>J84*C5*3</f>
        <v>9554.5759560517</v>
      </c>
      <c r="L84" s="7">
        <f>J84*C5*6</f>
        <v>19109.1519121034</v>
      </c>
      <c r="M84" s="1"/>
      <c r="N84" s="1"/>
    </row>
    <row r="85" spans="2:14" ht="12.7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802584.3947033434</v>
      </c>
      <c r="J85" s="31">
        <f>J83+J84</f>
        <v>14.136378274421979</v>
      </c>
      <c r="K85" s="43">
        <f>J85*C5*3</f>
        <v>200646.09867583576</v>
      </c>
      <c r="L85" s="6">
        <f>SUM(L83:L84)</f>
        <v>401292.19735167164</v>
      </c>
      <c r="M85" s="2">
        <f>M83+M84</f>
        <v>573274.5681593524</v>
      </c>
      <c r="N85" s="2">
        <f>N83+N84</f>
        <v>764366.0908791365</v>
      </c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>
        <v>9184.92</v>
      </c>
      <c r="M86" s="2">
        <v>9184.92</v>
      </c>
      <c r="N86" s="2">
        <v>9184.92</v>
      </c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15.33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4:O101"/>
  <sheetViews>
    <sheetView workbookViewId="0" topLeftCell="A4">
      <pane xSplit="1" ySplit="15" topLeftCell="B63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C65" sqref="C65"/>
    </sheetView>
  </sheetViews>
  <sheetFormatPr defaultColWidth="9.140625" defaultRowHeight="12.75"/>
  <cols>
    <col min="2" max="2" width="12.8515625" style="0" customWidth="1"/>
    <col min="3" max="3" width="34.00390625" style="0" customWidth="1"/>
    <col min="4" max="4" width="17.00390625" style="0" customWidth="1"/>
    <col min="5" max="5" width="15.57421875" style="0" hidden="1" customWidth="1"/>
    <col min="6" max="6" width="14.421875" style="0" hidden="1" customWidth="1"/>
    <col min="7" max="7" width="11.28125" style="0" hidden="1" customWidth="1"/>
    <col min="8" max="8" width="9.140625" style="0" hidden="1" customWidth="1"/>
    <col min="9" max="9" width="11.57421875" style="0" hidden="1" customWidth="1"/>
    <col min="10" max="10" width="12.28125" style="0" customWidth="1"/>
    <col min="11" max="11" width="13.140625" style="0" hidden="1" customWidth="1"/>
    <col min="12" max="12" width="13.421875" style="0" hidden="1" customWidth="1"/>
    <col min="13" max="13" width="11.7109375" style="0" customWidth="1"/>
    <col min="14" max="14" width="12.8515625" style="0" customWidth="1"/>
  </cols>
  <sheetData>
    <row r="4" spans="2:3" ht="12.75">
      <c r="B4" t="s">
        <v>487</v>
      </c>
      <c r="C4" s="5" t="s">
        <v>126</v>
      </c>
    </row>
    <row r="5" spans="2:3" ht="12.75">
      <c r="B5" t="s">
        <v>488</v>
      </c>
      <c r="C5">
        <v>1570.2</v>
      </c>
    </row>
    <row r="6" spans="2:3" ht="12.75">
      <c r="B6" t="s">
        <v>489</v>
      </c>
      <c r="C6">
        <v>572</v>
      </c>
    </row>
    <row r="7" spans="2:3" ht="12.75">
      <c r="B7" t="s">
        <v>490</v>
      </c>
      <c r="C7">
        <v>230</v>
      </c>
    </row>
    <row r="8" spans="2:3" ht="12.75">
      <c r="B8" t="s">
        <v>491</v>
      </c>
      <c r="C8">
        <v>179</v>
      </c>
    </row>
    <row r="9" spans="2:3" ht="12.75">
      <c r="B9" t="s">
        <v>492</v>
      </c>
      <c r="C9">
        <v>2</v>
      </c>
    </row>
    <row r="10" spans="2:3" ht="12.75">
      <c r="B10" t="s">
        <v>493</v>
      </c>
      <c r="C10">
        <v>30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140</v>
      </c>
      <c r="L15" s="74" t="s">
        <v>174</v>
      </c>
      <c r="M15" s="80" t="s">
        <v>230</v>
      </c>
      <c r="N15" s="74" t="s">
        <v>309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80"/>
      <c r="N16" s="74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80"/>
      <c r="N17" s="74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80"/>
      <c r="N18" s="74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17312.880264947224</v>
      </c>
      <c r="J27" s="30">
        <f>I27/C5/12</f>
        <v>0.9188256413698479</v>
      </c>
      <c r="K27" s="42">
        <f>J27*C5*1</f>
        <v>1442.7400220789352</v>
      </c>
      <c r="L27" s="7">
        <f>J27*C5*4</f>
        <v>5770.960088315741</v>
      </c>
      <c r="M27" s="7">
        <f>J27*C5*7</f>
        <v>10099.180154552547</v>
      </c>
      <c r="N27" s="48">
        <f>J27*C5*10</f>
        <v>14427.400220789352</v>
      </c>
    </row>
    <row r="28" spans="2:14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5886.378826424414</v>
      </c>
      <c r="J28" s="30">
        <f>I28/C5/12</f>
        <v>0.3124006934586047</v>
      </c>
      <c r="K28" s="42">
        <f>J28*C5*1</f>
        <v>490.53156886870113</v>
      </c>
      <c r="L28" s="7">
        <f>J28*C5*4</f>
        <v>1962.1262754748045</v>
      </c>
      <c r="M28" s="7">
        <f>J28*C5*7</f>
        <v>3433.720982080908</v>
      </c>
      <c r="N28" s="48">
        <f>J28*C5*10</f>
        <v>4905.315688687011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1176.7250062443916</v>
      </c>
      <c r="J29" s="30">
        <f>I29/C5/12</f>
        <v>0.062450908920540456</v>
      </c>
      <c r="K29" s="42">
        <f>J29*C5*1</f>
        <v>98.06041718703263</v>
      </c>
      <c r="L29" s="7">
        <f>J29*C5*4</f>
        <v>392.2416687481305</v>
      </c>
      <c r="M29" s="7">
        <f>J29*C5*7</f>
        <v>686.4229203092284</v>
      </c>
      <c r="N29" s="48">
        <f>J29*C5*10</f>
        <v>980.6041718703262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7"/>
      <c r="M30" s="7"/>
      <c r="N30" s="48"/>
    </row>
    <row r="31" spans="2:14" ht="38.25">
      <c r="B31" s="1" t="s">
        <v>56</v>
      </c>
      <c r="C31" s="3"/>
      <c r="D31" s="3" t="s">
        <v>229</v>
      </c>
      <c r="E31" s="1"/>
      <c r="F31" s="1">
        <v>674</v>
      </c>
      <c r="G31" s="1"/>
      <c r="H31" s="1">
        <v>674</v>
      </c>
      <c r="I31" s="1"/>
      <c r="J31" s="1"/>
      <c r="K31" s="1"/>
      <c r="L31" s="7"/>
      <c r="M31" s="7"/>
      <c r="N31" s="48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7"/>
      <c r="N32" s="48"/>
    </row>
    <row r="33" spans="2:15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24375.98409761603</v>
      </c>
      <c r="J33" s="31">
        <f t="shared" si="0"/>
        <v>1.2936772437489932</v>
      </c>
      <c r="K33" s="43">
        <f t="shared" si="0"/>
        <v>2031.3320081346692</v>
      </c>
      <c r="L33" s="6">
        <f t="shared" si="0"/>
        <v>8125.328032538677</v>
      </c>
      <c r="M33" s="6">
        <f t="shared" si="0"/>
        <v>14219.324056942683</v>
      </c>
      <c r="N33" s="2">
        <f t="shared" si="0"/>
        <v>20313.32008134669</v>
      </c>
      <c r="O33" s="5"/>
    </row>
    <row r="34" spans="2:14" ht="51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25.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5881.3118446671315</v>
      </c>
      <c r="J35" s="30">
        <f>I35/C5/12</f>
        <v>0.3121317796388534</v>
      </c>
      <c r="K35" s="42">
        <f>J35*C5*1</f>
        <v>490.10932038892764</v>
      </c>
      <c r="L35" s="7">
        <f>J35*C5*4</f>
        <v>1960.4372815557106</v>
      </c>
      <c r="M35" s="7">
        <f>J35*C5*7</f>
        <v>3430.7652427224934</v>
      </c>
      <c r="N35" s="1">
        <f>J35*C5*10</f>
        <v>4901.093203889276</v>
      </c>
    </row>
    <row r="36" spans="2:14" ht="12.75">
      <c r="B36" s="1" t="s">
        <v>63</v>
      </c>
      <c r="C36" s="3" t="s">
        <v>64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1999.6462523061848</v>
      </c>
      <c r="J36" s="30">
        <f>I36/C5/12</f>
        <v>0.1061248170246988</v>
      </c>
      <c r="K36" s="42">
        <f>J36*C5*1</f>
        <v>166.63718769218204</v>
      </c>
      <c r="L36" s="7">
        <f>J36*C5*4</f>
        <v>666.5487507687282</v>
      </c>
      <c r="M36" s="7">
        <f>J36*C5*7</f>
        <v>1166.4603138452742</v>
      </c>
      <c r="N36" s="1">
        <f>J36*C5*10</f>
        <v>1666.3718769218203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833.344801100334</v>
      </c>
      <c r="J37" s="30">
        <f>I37/C5/12</f>
        <v>0.04422710488580722</v>
      </c>
      <c r="K37" s="42">
        <f>J37*C5*1</f>
        <v>69.44540009169451</v>
      </c>
      <c r="L37" s="7">
        <f>J37*C5*4</f>
        <v>277.78160036677804</v>
      </c>
      <c r="M37" s="7">
        <f>J37*C5*7</f>
        <v>486.11780064186155</v>
      </c>
      <c r="N37" s="1">
        <f>J37*C5*10</f>
        <v>694.4540009169451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398.1409841252829</v>
      </c>
      <c r="J38" s="30">
        <f>I38/C5/12</f>
        <v>0.02113005689961379</v>
      </c>
      <c r="K38" s="42">
        <f>J38*C5*1</f>
        <v>33.17841534377357</v>
      </c>
      <c r="L38" s="7">
        <f>J38*C5*4</f>
        <v>132.7136613750943</v>
      </c>
      <c r="M38" s="7">
        <f>J38*C5*7</f>
        <v>232.24890740641501</v>
      </c>
      <c r="N38" s="1">
        <f>J38*C5*10</f>
        <v>331.7841534377357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7"/>
      <c r="N39" s="1"/>
    </row>
    <row r="40" spans="2:14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7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338.13120966582426</v>
      </c>
      <c r="J41" s="30">
        <f>I41/C5/12</f>
        <v>0.017945230420000863</v>
      </c>
      <c r="K41" s="42">
        <f>J41*C5*1</f>
        <v>28.17760080548536</v>
      </c>
      <c r="L41" s="7">
        <f>J41*C5*4</f>
        <v>112.71040322194143</v>
      </c>
      <c r="M41" s="7">
        <f>J41*C5*7</f>
        <v>197.2432056383975</v>
      </c>
      <c r="N41" s="1">
        <f>J41*C5*10</f>
        <v>281.7760080548536</v>
      </c>
    </row>
    <row r="42" spans="2:15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9450.575091864757</v>
      </c>
      <c r="J42" s="31">
        <f t="shared" si="1"/>
        <v>0.5015589888689741</v>
      </c>
      <c r="K42" s="43">
        <f t="shared" si="1"/>
        <v>787.5479243220632</v>
      </c>
      <c r="L42" s="6">
        <f t="shared" si="1"/>
        <v>3150.1916972882527</v>
      </c>
      <c r="M42" s="6">
        <f t="shared" si="1"/>
        <v>5512.835470254442</v>
      </c>
      <c r="N42" s="2">
        <f t="shared" si="1"/>
        <v>7875.47924322063</v>
      </c>
      <c r="O42" s="5"/>
    </row>
    <row r="43" spans="2:14" ht="25.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56338.775415750526</v>
      </c>
      <c r="J43" s="31">
        <f>I43/C5/12</f>
        <v>2.9899999689928314</v>
      </c>
      <c r="K43" s="43">
        <f>J43*C5*1</f>
        <v>4694.897951312544</v>
      </c>
      <c r="L43" s="6">
        <f>J43*C5*4</f>
        <v>18779.591805250177</v>
      </c>
      <c r="M43" s="6">
        <f>J43*C5*7</f>
        <v>32864.28565918781</v>
      </c>
      <c r="N43" s="2">
        <f>J43*C5*10</f>
        <v>46948.97951312544</v>
      </c>
    </row>
    <row r="44" spans="2:14" ht="38.2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76.5">
      <c r="B45" s="1" t="s">
        <v>76</v>
      </c>
      <c r="C45" s="3" t="s">
        <v>429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6187.676666343788</v>
      </c>
      <c r="J45" s="30">
        <f>I45/C5/12</f>
        <v>0.3283911108109258</v>
      </c>
      <c r="K45" s="42">
        <f>J45*C5*1</f>
        <v>515.6397221953157</v>
      </c>
      <c r="L45" s="7">
        <f>J45*C5*4</f>
        <v>2062.558888781263</v>
      </c>
      <c r="M45" s="7">
        <f>J45*C5*7</f>
        <v>3609.47805536721</v>
      </c>
      <c r="N45" s="1">
        <f>J45*C5*10</f>
        <v>5156.397221953157</v>
      </c>
    </row>
    <row r="46" spans="2:14" ht="51">
      <c r="B46" s="1" t="s">
        <v>78</v>
      </c>
      <c r="C46" s="3" t="s">
        <v>79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2103.8061609761435</v>
      </c>
      <c r="J46" s="30">
        <f>I46/C5/12</f>
        <v>0.11165277039953209</v>
      </c>
      <c r="K46" s="42">
        <f>J46*C5*1</f>
        <v>175.3171800813453</v>
      </c>
      <c r="L46" s="7">
        <f>J46*C5*4</f>
        <v>701.2687203253812</v>
      </c>
      <c r="M46" s="7">
        <f>J46*C5*7</f>
        <v>1227.2202605694172</v>
      </c>
      <c r="N46" s="1">
        <f>J46*C5*10</f>
        <v>1753.171800813453</v>
      </c>
    </row>
    <row r="47" spans="2:14" ht="89.2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1236.2560174298037</v>
      </c>
      <c r="J47" s="30">
        <f>I47/C5/12</f>
        <v>0.06561032657356831</v>
      </c>
      <c r="K47" s="42">
        <f>J47*C5*1</f>
        <v>103.02133478581698</v>
      </c>
      <c r="L47" s="7">
        <f>J47*C5*4</f>
        <v>412.0853391432679</v>
      </c>
      <c r="M47" s="7">
        <f>J47*C5*7</f>
        <v>721.1493435007188</v>
      </c>
      <c r="N47" s="1">
        <f>J47*C5*10</f>
        <v>1030.2133478581698</v>
      </c>
    </row>
    <row r="48" spans="2:14" ht="12.75">
      <c r="B48" s="1"/>
      <c r="C48" s="4" t="s">
        <v>239</v>
      </c>
      <c r="D48" s="1"/>
      <c r="E48" s="1"/>
      <c r="F48" s="1"/>
      <c r="G48" s="1"/>
      <c r="H48" s="1"/>
      <c r="I48" s="1"/>
      <c r="J48" s="1"/>
      <c r="K48" s="42"/>
      <c r="L48" s="7"/>
      <c r="M48" s="7"/>
      <c r="N48" s="1"/>
    </row>
    <row r="49" spans="2:14" ht="12.75">
      <c r="B49" s="1"/>
      <c r="C49" s="3"/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7"/>
      <c r="N49" s="1"/>
    </row>
    <row r="50" spans="2:15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9527.738844749734</v>
      </c>
      <c r="J50" s="31">
        <f t="shared" si="2"/>
        <v>0.5056542077840263</v>
      </c>
      <c r="K50" s="43">
        <f t="shared" si="2"/>
        <v>793.978237062478</v>
      </c>
      <c r="L50" s="6">
        <f t="shared" si="2"/>
        <v>3175.912948249912</v>
      </c>
      <c r="M50" s="6">
        <f t="shared" si="2"/>
        <v>5557.847659437346</v>
      </c>
      <c r="N50" s="2">
        <f t="shared" si="2"/>
        <v>7939.78237062478</v>
      </c>
      <c r="O50" s="5"/>
    </row>
    <row r="51" spans="2:14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38.2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7400.303920270054</v>
      </c>
      <c r="J52" s="30">
        <f>I52/C5/12</f>
        <v>0.3927474164793261</v>
      </c>
      <c r="K52" s="42">
        <f>J52*C5*1</f>
        <v>616.6919933558379</v>
      </c>
      <c r="L52" s="7">
        <f>J52*C5*4</f>
        <v>2466.7679734233516</v>
      </c>
      <c r="M52" s="7">
        <f>J52*C5*7</f>
        <v>4316.843953490865</v>
      </c>
      <c r="N52" s="1">
        <f>J52*C5*10</f>
        <v>6166.919933558379</v>
      </c>
    </row>
    <row r="53" spans="2:14" ht="38.25">
      <c r="B53" s="1" t="s">
        <v>84</v>
      </c>
      <c r="C53" s="3" t="s">
        <v>85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2516.1037139240857</v>
      </c>
      <c r="J53" s="30">
        <f>I53/C5/12</f>
        <v>0.13353414182503745</v>
      </c>
      <c r="K53" s="42">
        <f>J53*C5*1</f>
        <v>209.6753094936738</v>
      </c>
      <c r="L53" s="7">
        <f>J53*C5*4</f>
        <v>838.7012379746952</v>
      </c>
      <c r="M53" s="7">
        <f>J53*C5*7</f>
        <v>1467.7271664557165</v>
      </c>
      <c r="N53" s="1">
        <f>J53*C5*10</f>
        <v>2096.7530949367383</v>
      </c>
    </row>
    <row r="54" spans="2:14" ht="51">
      <c r="B54" s="1" t="s">
        <v>86</v>
      </c>
      <c r="C54" s="3" t="s">
        <v>87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4945.022482084765</v>
      </c>
      <c r="J54" s="30">
        <f>I54/C5/12</f>
        <v>0.2624412220356624</v>
      </c>
      <c r="K54" s="42">
        <f>J54*C5*1</f>
        <v>412.0852068403971</v>
      </c>
      <c r="L54" s="7">
        <f>J54*C5*4</f>
        <v>1648.3408273615885</v>
      </c>
      <c r="M54" s="7">
        <f>J54*C5*7</f>
        <v>2884.59644788278</v>
      </c>
      <c r="N54" s="1">
        <f>J54*C5*10</f>
        <v>4120.852068403971</v>
      </c>
    </row>
    <row r="55" spans="2:14" ht="38.2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7"/>
      <c r="N55" s="1"/>
    </row>
    <row r="56" spans="2:14" ht="38.2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7"/>
      <c r="N56" s="1"/>
    </row>
    <row r="57" spans="2:14" ht="63.7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7"/>
      <c r="N57" s="1"/>
    </row>
    <row r="58" spans="2:14" ht="12.75">
      <c r="B58" s="1" t="s">
        <v>93</v>
      </c>
      <c r="C58" s="3"/>
      <c r="D58" s="1"/>
      <c r="E58" s="1"/>
      <c r="F58" s="1"/>
      <c r="G58" s="1"/>
      <c r="H58" s="1"/>
      <c r="I58" s="1"/>
      <c r="J58" s="1"/>
      <c r="K58" s="42"/>
      <c r="L58" s="7"/>
      <c r="M58" s="7"/>
      <c r="N58" s="1"/>
    </row>
    <row r="59" spans="2:15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14861.430116278905</v>
      </c>
      <c r="J59" s="31">
        <f t="shared" si="3"/>
        <v>0.7887227803400259</v>
      </c>
      <c r="K59" s="43">
        <f t="shared" si="3"/>
        <v>1238.4525096899088</v>
      </c>
      <c r="L59" s="6">
        <f t="shared" si="3"/>
        <v>4953.810038759635</v>
      </c>
      <c r="M59" s="6">
        <f t="shared" si="3"/>
        <v>8669.167567829361</v>
      </c>
      <c r="N59" s="2">
        <f t="shared" si="3"/>
        <v>12384.525096899088</v>
      </c>
      <c r="O59" s="5"/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51">
      <c r="B61" s="1" t="s">
        <v>96</v>
      </c>
      <c r="C61" s="3" t="s">
        <v>211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33626.48342366867</v>
      </c>
      <c r="J61" s="30">
        <f>I61/C5/12</f>
        <v>1.7846178524852816</v>
      </c>
      <c r="K61" s="42">
        <f>J61*C5*1</f>
        <v>2802.206951972389</v>
      </c>
      <c r="L61" s="7">
        <f>J61*C5*4</f>
        <v>11208.827807889556</v>
      </c>
      <c r="M61" s="7">
        <f>J61*C5*7</f>
        <v>19615.448663806725</v>
      </c>
      <c r="N61" s="1">
        <f>J61*C5*10</f>
        <v>28022.06951972389</v>
      </c>
    </row>
    <row r="62" spans="2:14" ht="38.25">
      <c r="B62" s="1" t="s">
        <v>98</v>
      </c>
      <c r="C62" s="3" t="s">
        <v>340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11433.004967348441</v>
      </c>
      <c r="J62" s="30">
        <f>I62/C5/12</f>
        <v>0.606770101863268</v>
      </c>
      <c r="K62" s="42">
        <f>J62*C5*1</f>
        <v>952.7504139457034</v>
      </c>
      <c r="L62" s="7">
        <f>J62*C5*4</f>
        <v>3811.0016557828135</v>
      </c>
      <c r="M62" s="7">
        <f>J62*C5*7</f>
        <v>6669.252897619924</v>
      </c>
      <c r="N62" s="1">
        <f>J62*C5*10</f>
        <v>9527.504139457034</v>
      </c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7976.9676800820525</v>
      </c>
      <c r="J63" s="30">
        <f>I63/C5/12</f>
        <v>0.4233519976267382</v>
      </c>
      <c r="K63" s="42">
        <f>J63*C5*1</f>
        <v>664.7473066735043</v>
      </c>
      <c r="L63" s="7">
        <f>J63*C5*4</f>
        <v>2658.9892266940174</v>
      </c>
      <c r="M63" s="7">
        <f>J63*C5*7</f>
        <v>4653.23114671453</v>
      </c>
      <c r="N63" s="1">
        <f>J63*C5*10</f>
        <v>6647.473066735043</v>
      </c>
    </row>
    <row r="64" spans="2:14" ht="25.5">
      <c r="B64" s="1" t="s">
        <v>102</v>
      </c>
      <c r="C64" s="3" t="s">
        <v>158</v>
      </c>
      <c r="D64" s="1"/>
      <c r="E64" s="1"/>
      <c r="F64" s="1"/>
      <c r="G64" s="1"/>
      <c r="H64" s="1"/>
      <c r="I64" s="1"/>
      <c r="J64" s="30"/>
      <c r="K64" s="42"/>
      <c r="L64" s="7"/>
      <c r="M64" s="7"/>
      <c r="N64" s="1"/>
    </row>
    <row r="65" spans="2:14" ht="38.25">
      <c r="B65" s="1" t="s">
        <v>104</v>
      </c>
      <c r="C65" s="3" t="s">
        <v>402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7"/>
      <c r="N65" s="1"/>
    </row>
    <row r="66" spans="2:14" ht="51">
      <c r="B66" s="1" t="s">
        <v>105</v>
      </c>
      <c r="C66" s="3" t="s">
        <v>106</v>
      </c>
      <c r="D66" s="3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/>
      <c r="J66" s="30"/>
      <c r="K66" s="42"/>
      <c r="L66" s="7"/>
      <c r="M66" s="7"/>
      <c r="N66" s="1"/>
    </row>
    <row r="67" spans="2:15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53036.456071099165</v>
      </c>
      <c r="J67" s="31">
        <f t="shared" si="4"/>
        <v>2.814739951975288</v>
      </c>
      <c r="K67" s="43">
        <f t="shared" si="4"/>
        <v>4419.704672591597</v>
      </c>
      <c r="L67" s="6">
        <f t="shared" si="4"/>
        <v>17678.81869036639</v>
      </c>
      <c r="M67" s="6">
        <f t="shared" si="4"/>
        <v>30937.93270814118</v>
      </c>
      <c r="N67" s="2">
        <f t="shared" si="4"/>
        <v>44197.04672591597</v>
      </c>
      <c r="O67" s="5"/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63.75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3081.1428143009643</v>
      </c>
      <c r="J69" s="30">
        <f>I69/C5/12</f>
        <v>0.1635217814238613</v>
      </c>
      <c r="K69" s="42">
        <f>J69*C5*1</f>
        <v>256.76190119174703</v>
      </c>
      <c r="L69" s="7">
        <f>J69*C5*4</f>
        <v>1027.0476047669881</v>
      </c>
      <c r="M69" s="7">
        <f>J69*C5*7</f>
        <v>1797.3333083422292</v>
      </c>
      <c r="N69" s="1">
        <f>J69*C5*10</f>
        <v>2567.6190119174703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1047.5894776903083</v>
      </c>
      <c r="J70" s="30">
        <f>I70/C5/12</f>
        <v>0.05559745455410713</v>
      </c>
      <c r="K70" s="42">
        <f>J70*C5*1</f>
        <v>87.29912314085902</v>
      </c>
      <c r="L70" s="7">
        <f>J70*C5*4</f>
        <v>349.1964925634361</v>
      </c>
      <c r="M70" s="7">
        <f>J70*C5*7</f>
        <v>611.0938619860132</v>
      </c>
      <c r="N70" s="1">
        <f>J70*C5*10</f>
        <v>872.9912314085902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886.3270961739244</v>
      </c>
      <c r="J71" s="30">
        <f>I71/C5/12</f>
        <v>0.04703897041639729</v>
      </c>
      <c r="K71" s="42">
        <f>J71*C5*1</f>
        <v>73.86059134782703</v>
      </c>
      <c r="L71" s="7">
        <f>J71*C5*4</f>
        <v>295.4423653913081</v>
      </c>
      <c r="M71" s="7">
        <f>J71*C5*7</f>
        <v>517.0241394347892</v>
      </c>
      <c r="N71" s="1">
        <f>J71*C5*10</f>
        <v>738.6059134782703</v>
      </c>
    </row>
    <row r="72" spans="2:14" ht="12.75">
      <c r="B72" s="1"/>
      <c r="C72" s="3"/>
      <c r="D72" s="1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5464.29643183657</v>
      </c>
      <c r="J72" s="30">
        <f>I72/C5/12</f>
        <v>0.29000002291834215</v>
      </c>
      <c r="K72" s="42">
        <f>J72*C5*1</f>
        <v>455.35803598638086</v>
      </c>
      <c r="L72" s="7">
        <f>J72*C5*4</f>
        <v>1821.4321439455234</v>
      </c>
      <c r="M72" s="7">
        <f>J72*C5*7</f>
        <v>3187.506251904666</v>
      </c>
      <c r="N72" s="1">
        <f>J72*C5*10</f>
        <v>4553.580359863809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7"/>
      <c r="N73" s="1"/>
    </row>
    <row r="74" spans="2:15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10479.355820001769</v>
      </c>
      <c r="J74" s="31">
        <f t="shared" si="5"/>
        <v>0.5561582293127079</v>
      </c>
      <c r="K74" s="43">
        <f t="shared" si="5"/>
        <v>873.279651666814</v>
      </c>
      <c r="L74" s="6">
        <f t="shared" si="5"/>
        <v>3493.118606667256</v>
      </c>
      <c r="M74" s="6">
        <f t="shared" si="5"/>
        <v>6112.9575616676975</v>
      </c>
      <c r="N74" s="2">
        <f t="shared" si="5"/>
        <v>8732.796516668139</v>
      </c>
      <c r="O74" s="5"/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7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178070.3154573609</v>
      </c>
      <c r="J80" s="31">
        <f>J33+J42+J43+J50+J59+J67+J74</f>
        <v>9.450511371022845</v>
      </c>
      <c r="K80" s="43">
        <f>J80*C5*1</f>
        <v>14839.192954780072</v>
      </c>
      <c r="L80" s="6">
        <f>L33+L42+L43+L50+L59+L67+L74</f>
        <v>59356.771819120295</v>
      </c>
      <c r="M80" s="6">
        <f>M33+M42+M43+M50+M59+M67+M74</f>
        <v>103874.3506834605</v>
      </c>
      <c r="N80" s="2">
        <f>N33+N42+N43+N50+N59+N67+N74</f>
        <v>148391.92954780074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18641.476227293424</v>
      </c>
      <c r="J81" s="30">
        <f>I81/C5/12</f>
        <v>0.9893366146188077</v>
      </c>
      <c r="K81" s="42">
        <f>J81*C5*1</f>
        <v>1553.456352274452</v>
      </c>
      <c r="L81" s="7">
        <f>J81*C5*4</f>
        <v>6213.825409097808</v>
      </c>
      <c r="M81" s="7">
        <f>J81*C5*7</f>
        <v>10874.194465921164</v>
      </c>
      <c r="N81" s="1">
        <f>J81*C5*10</f>
        <v>15534.56352274452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49907.94303831443</v>
      </c>
      <c r="J82" s="30">
        <f>I82/C5/12</f>
        <v>2.6487041480020816</v>
      </c>
      <c r="K82" s="42">
        <f>J82*C5*1</f>
        <v>4158.995253192868</v>
      </c>
      <c r="L82" s="7">
        <f>J82*C5*4</f>
        <v>16635.981012771474</v>
      </c>
      <c r="M82" s="7">
        <f>J82*C5*7</f>
        <v>29112.96677235008</v>
      </c>
      <c r="N82" s="1">
        <f>J82*C5*10</f>
        <v>41589.952531928684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246619.73472296877</v>
      </c>
      <c r="J83" s="31">
        <f>J80+J81+J82</f>
        <v>13.088552133643734</v>
      </c>
      <c r="K83" s="43">
        <f>J83*C5*1</f>
        <v>20551.64456024739</v>
      </c>
      <c r="L83" s="6">
        <f>SUM(L80:L82)</f>
        <v>82206.57824098958</v>
      </c>
      <c r="M83" s="6">
        <f>SUM(M80:M82)</f>
        <v>143861.51192173176</v>
      </c>
      <c r="N83" s="2">
        <f>SUM(N80:N82)</f>
        <v>205516.44560247395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12330.986503923903</v>
      </c>
      <c r="J84" s="30">
        <f>I84/C5/12</f>
        <v>0.6544275943576138</v>
      </c>
      <c r="K84" s="42">
        <f>J84*C5*1</f>
        <v>1027.5822086603253</v>
      </c>
      <c r="L84" s="7">
        <f>J84*C5*4</f>
        <v>4110.328834641301</v>
      </c>
      <c r="M84" s="1"/>
      <c r="N84" s="1"/>
    </row>
    <row r="85" spans="2:14" ht="25.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258950.72122689267</v>
      </c>
      <c r="J85" s="31">
        <f>J83+J84</f>
        <v>13.742979728001348</v>
      </c>
      <c r="K85" s="43">
        <f>J85*C5*1</f>
        <v>21579.226768907716</v>
      </c>
      <c r="L85" s="6">
        <f>SUM(L83:L84)</f>
        <v>86316.90707563088</v>
      </c>
      <c r="M85" s="6">
        <f>M83+M84</f>
        <v>143861.51192173176</v>
      </c>
      <c r="N85" s="2">
        <f>N83+N84</f>
        <v>205516.44560247395</v>
      </c>
    </row>
    <row r="86" spans="2:14" ht="12.75">
      <c r="B86" s="1"/>
      <c r="C86" s="4" t="s">
        <v>193</v>
      </c>
      <c r="D86" s="1"/>
      <c r="E86" s="1"/>
      <c r="F86" s="1"/>
      <c r="G86" s="1"/>
      <c r="H86" s="1"/>
      <c r="I86" s="1"/>
      <c r="J86" s="1"/>
      <c r="K86" s="1"/>
      <c r="L86" s="7"/>
      <c r="M86" s="2">
        <v>9184.92</v>
      </c>
      <c r="N86" s="2">
        <v>9184.92</v>
      </c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14.83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3.5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87"/>
  <sheetViews>
    <sheetView workbookViewId="0" topLeftCell="A1">
      <pane xSplit="1" ySplit="18" topLeftCell="B76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O31" sqref="O31"/>
    </sheetView>
  </sheetViews>
  <sheetFormatPr defaultColWidth="9.140625" defaultRowHeight="12.75"/>
  <cols>
    <col min="2" max="2" width="9.28125" style="0" customWidth="1"/>
    <col min="3" max="3" width="39.00390625" style="0" customWidth="1"/>
    <col min="4" max="4" width="15.8515625" style="0" customWidth="1"/>
    <col min="5" max="5" width="13.140625" style="0" customWidth="1"/>
    <col min="6" max="6" width="11.57421875" style="0" customWidth="1"/>
    <col min="9" max="9" width="10.8515625" style="0" customWidth="1"/>
  </cols>
  <sheetData>
    <row r="4" spans="2:3" ht="12.75">
      <c r="B4" t="s">
        <v>487</v>
      </c>
      <c r="C4" s="5" t="s">
        <v>225</v>
      </c>
    </row>
    <row r="5" spans="2:3" ht="12.75">
      <c r="B5" t="s">
        <v>488</v>
      </c>
      <c r="C5">
        <v>3703.4</v>
      </c>
    </row>
    <row r="6" spans="2:4" ht="12.75">
      <c r="B6" s="5" t="s">
        <v>489</v>
      </c>
      <c r="C6" s="5">
        <v>1318</v>
      </c>
      <c r="D6" t="s">
        <v>227</v>
      </c>
    </row>
    <row r="7" spans="1:3" ht="12.75">
      <c r="A7" s="5"/>
      <c r="B7" s="37" t="s">
        <v>490</v>
      </c>
      <c r="C7" s="37">
        <v>549</v>
      </c>
    </row>
    <row r="8" spans="2:3" ht="12.75">
      <c r="B8" t="s">
        <v>491</v>
      </c>
      <c r="C8">
        <v>478</v>
      </c>
    </row>
    <row r="9" spans="2:3" ht="12.75">
      <c r="B9" t="s">
        <v>492</v>
      </c>
      <c r="C9">
        <v>5</v>
      </c>
    </row>
    <row r="10" spans="2:3" ht="12.75">
      <c r="B10" t="s">
        <v>493</v>
      </c>
      <c r="C10">
        <v>75</v>
      </c>
    </row>
    <row r="11" spans="2:3" ht="12.75">
      <c r="B11" t="s">
        <v>494</v>
      </c>
      <c r="C11">
        <v>5</v>
      </c>
    </row>
    <row r="12" spans="2:3" ht="12.75">
      <c r="B12" t="s">
        <v>547</v>
      </c>
      <c r="C12">
        <v>2</v>
      </c>
    </row>
    <row r="14" spans="2:10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67" t="s">
        <v>123</v>
      </c>
      <c r="J14" s="69"/>
    </row>
    <row r="15" spans="2:10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</row>
    <row r="16" spans="2:10" ht="12.75">
      <c r="B16" s="74"/>
      <c r="C16" s="74"/>
      <c r="D16" s="74"/>
      <c r="E16" s="74"/>
      <c r="F16" s="74"/>
      <c r="G16" s="74"/>
      <c r="H16" s="74"/>
      <c r="I16" s="74"/>
      <c r="J16" s="74"/>
    </row>
    <row r="17" spans="2:10" ht="12.75">
      <c r="B17" s="74"/>
      <c r="C17" s="74"/>
      <c r="D17" s="74"/>
      <c r="E17" s="74"/>
      <c r="F17" s="74"/>
      <c r="G17" s="74"/>
      <c r="H17" s="74"/>
      <c r="I17" s="74"/>
      <c r="J17" s="74"/>
    </row>
    <row r="18" spans="2:10" ht="12.75">
      <c r="B18" s="74"/>
      <c r="C18" s="74"/>
      <c r="D18" s="74"/>
      <c r="E18" s="74"/>
      <c r="F18" s="74"/>
      <c r="G18" s="74"/>
      <c r="H18" s="74"/>
      <c r="I18" s="74"/>
      <c r="J18" s="74"/>
    </row>
    <row r="19" spans="2:10" ht="12.75">
      <c r="B19" s="1"/>
      <c r="C19" s="1"/>
      <c r="D19" s="1"/>
      <c r="E19" s="1"/>
      <c r="F19" s="1"/>
      <c r="G19" s="1"/>
      <c r="H19" s="1"/>
      <c r="I19" s="1"/>
      <c r="J19" s="1"/>
    </row>
    <row r="20" spans="2:10" ht="12.75">
      <c r="B20" s="1"/>
      <c r="C20" s="1"/>
      <c r="D20" s="1"/>
      <c r="E20" s="1"/>
      <c r="F20" s="1"/>
      <c r="G20" s="1"/>
      <c r="H20" s="1"/>
      <c r="I20" s="1"/>
      <c r="J20" s="1"/>
    </row>
    <row r="21" spans="2:10" ht="12.75">
      <c r="B21" s="1"/>
      <c r="C21" s="1"/>
      <c r="D21" s="1"/>
      <c r="E21" s="1"/>
      <c r="F21" s="1"/>
      <c r="G21" s="1"/>
      <c r="H21" s="1"/>
      <c r="I21" s="1"/>
      <c r="J21" s="1"/>
    </row>
    <row r="22" spans="2:10" ht="12.75">
      <c r="B22" s="1"/>
      <c r="C22" s="4" t="s">
        <v>46</v>
      </c>
      <c r="D22" s="4"/>
      <c r="E22" s="2">
        <v>141634.46</v>
      </c>
      <c r="F22" s="2"/>
      <c r="G22" s="2">
        <v>98901.86</v>
      </c>
      <c r="H22" s="2">
        <v>42732.6</v>
      </c>
      <c r="I22" s="1"/>
      <c r="J22" s="1"/>
    </row>
    <row r="23" spans="2:10" ht="12.75">
      <c r="B23" s="1"/>
      <c r="C23" s="3"/>
      <c r="D23" s="3"/>
      <c r="E23" s="1"/>
      <c r="F23" s="1"/>
      <c r="G23" s="1"/>
      <c r="H23" s="1"/>
      <c r="I23" s="1"/>
      <c r="J23" s="1"/>
    </row>
    <row r="24" spans="2:10" ht="12.75">
      <c r="B24" s="1" t="s">
        <v>47</v>
      </c>
      <c r="C24" s="38" t="s">
        <v>23</v>
      </c>
      <c r="D24" s="4"/>
      <c r="E24" s="2"/>
      <c r="F24" s="2"/>
      <c r="G24" s="2"/>
      <c r="H24" s="2"/>
      <c r="I24" s="1"/>
      <c r="J24" s="1"/>
    </row>
    <row r="25" spans="2:10" ht="25.5">
      <c r="B25" s="1" t="s">
        <v>48</v>
      </c>
      <c r="C25" s="38" t="s">
        <v>24</v>
      </c>
      <c r="D25" s="4"/>
      <c r="E25" s="2">
        <v>17784</v>
      </c>
      <c r="F25" s="2"/>
      <c r="G25" s="2">
        <v>10809.7</v>
      </c>
      <c r="H25" s="2">
        <v>6974.3</v>
      </c>
      <c r="I25" s="1"/>
      <c r="J25" s="1"/>
    </row>
    <row r="26" spans="2:10" ht="25.5">
      <c r="B26" s="1" t="s">
        <v>49</v>
      </c>
      <c r="C26" s="39" t="s">
        <v>25</v>
      </c>
      <c r="D26" s="3"/>
      <c r="E26" s="1"/>
      <c r="F26" s="1"/>
      <c r="G26" s="1"/>
      <c r="H26" s="1"/>
      <c r="I26" s="1"/>
      <c r="J26" s="1"/>
    </row>
    <row r="27" spans="2:10" ht="25.5">
      <c r="B27" s="1" t="s">
        <v>50</v>
      </c>
      <c r="C27" s="39" t="s">
        <v>26</v>
      </c>
      <c r="D27" s="3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46232.160707512696</v>
      </c>
      <c r="J27" s="30">
        <f>I27/C5/12</f>
        <v>1.0403089212505783</v>
      </c>
    </row>
    <row r="28" spans="2:10" ht="25.5">
      <c r="B28" s="1" t="s">
        <v>52</v>
      </c>
      <c r="C28" s="39" t="s">
        <v>27</v>
      </c>
      <c r="D28" s="3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15718.933402407096</v>
      </c>
      <c r="J28" s="30">
        <f>I28/C5/12</f>
        <v>0.35370500536459953</v>
      </c>
    </row>
    <row r="29" spans="2:10" ht="12.75">
      <c r="B29" s="1" t="s">
        <v>54</v>
      </c>
      <c r="C29" s="39"/>
      <c r="D29" s="3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3142.3159384626765</v>
      </c>
      <c r="J29" s="30">
        <f>I29/C5/12</f>
        <v>0.07070790666375665</v>
      </c>
    </row>
    <row r="30" spans="2:10" ht="12.75">
      <c r="B30" s="1" t="s">
        <v>55</v>
      </c>
      <c r="C30" s="39"/>
      <c r="D30" s="3"/>
      <c r="E30" s="1">
        <v>15</v>
      </c>
      <c r="F30" s="1"/>
      <c r="G30" s="1"/>
      <c r="H30" s="1"/>
      <c r="I30" s="1"/>
      <c r="J30" s="1"/>
    </row>
    <row r="31" spans="2:10" ht="25.5">
      <c r="B31" s="1" t="s">
        <v>56</v>
      </c>
      <c r="C31" s="39"/>
      <c r="D31" s="3" t="s">
        <v>58</v>
      </c>
      <c r="E31" s="1"/>
      <c r="F31" s="1">
        <v>674</v>
      </c>
      <c r="G31" s="1"/>
      <c r="H31" s="1">
        <v>674</v>
      </c>
      <c r="I31" s="1"/>
      <c r="J31" s="1"/>
    </row>
    <row r="32" spans="2:10" ht="12.75">
      <c r="B32" s="1" t="s">
        <v>59</v>
      </c>
      <c r="C32" s="39"/>
      <c r="D32" s="3"/>
      <c r="E32" s="1"/>
      <c r="F32" s="1"/>
      <c r="G32" s="1"/>
      <c r="H32" s="1"/>
      <c r="I32" s="1"/>
      <c r="J32" s="1"/>
    </row>
    <row r="33" spans="2:10" ht="12.75">
      <c r="B33" s="1"/>
      <c r="C33" s="38" t="s">
        <v>60</v>
      </c>
      <c r="D33" s="4"/>
      <c r="E33" s="2"/>
      <c r="F33" s="2">
        <v>3257220.6</v>
      </c>
      <c r="G33" s="2">
        <v>1472050.7</v>
      </c>
      <c r="H33" s="2">
        <v>1785169.9</v>
      </c>
      <c r="I33" s="2">
        <f>SUM(I27:I32)</f>
        <v>65093.41004838247</v>
      </c>
      <c r="J33" s="31">
        <f>SUM(J27:J32)</f>
        <v>1.4647218332789345</v>
      </c>
    </row>
    <row r="34" spans="2:10" ht="38.25">
      <c r="B34" s="1" t="s">
        <v>61</v>
      </c>
      <c r="C34" s="38" t="s">
        <v>31</v>
      </c>
      <c r="D34" s="4"/>
      <c r="E34" s="2">
        <v>111234.9</v>
      </c>
      <c r="F34" s="2"/>
      <c r="G34" s="2">
        <v>78376.2</v>
      </c>
      <c r="H34" s="2">
        <v>32858.7</v>
      </c>
      <c r="I34" s="1"/>
      <c r="J34" s="1"/>
    </row>
    <row r="35" spans="2:10" ht="25.5">
      <c r="B35" s="1" t="s">
        <v>62</v>
      </c>
      <c r="C35" s="39" t="s">
        <v>32</v>
      </c>
      <c r="D35" s="3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13691.28330921887</v>
      </c>
      <c r="J35" s="30">
        <f>I35/C5/12</f>
        <v>0.3080791369466542</v>
      </c>
    </row>
    <row r="36" spans="2:10" ht="12.75">
      <c r="B36" s="1" t="s">
        <v>63</v>
      </c>
      <c r="C36" s="39" t="s">
        <v>64</v>
      </c>
      <c r="D36" s="3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4655.036849196567</v>
      </c>
      <c r="J36" s="30">
        <f>I36/C5/12</f>
        <v>0.10474691835422782</v>
      </c>
    </row>
    <row r="37" spans="2:10" ht="12.75">
      <c r="B37" s="1" t="s">
        <v>65</v>
      </c>
      <c r="C37" s="39" t="s">
        <v>66</v>
      </c>
      <c r="D37" s="3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1939.9685082971616</v>
      </c>
      <c r="J37" s="30">
        <f>I37/C5/12</f>
        <v>0.04365287097210585</v>
      </c>
    </row>
    <row r="38" spans="2:10" ht="25.5">
      <c r="B38" s="1" t="s">
        <v>67</v>
      </c>
      <c r="C38" s="39" t="s">
        <v>34</v>
      </c>
      <c r="D38" s="3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926.8444106756898</v>
      </c>
      <c r="J38" s="30">
        <f>I38/C5/12</f>
        <v>0.020855709408374504</v>
      </c>
    </row>
    <row r="39" spans="2:10" ht="25.5">
      <c r="B39" s="1" t="s">
        <v>69</v>
      </c>
      <c r="C39" s="39" t="s">
        <v>35</v>
      </c>
      <c r="D39" s="3"/>
      <c r="E39" s="1"/>
      <c r="F39" s="1"/>
      <c r="G39" s="1"/>
      <c r="H39" s="1"/>
      <c r="I39" s="1"/>
      <c r="J39" s="1"/>
    </row>
    <row r="40" spans="2:10" ht="12.75">
      <c r="B40" s="1" t="s">
        <v>70</v>
      </c>
      <c r="C40" s="39" t="s">
        <v>36</v>
      </c>
      <c r="D40" s="3" t="s">
        <v>71</v>
      </c>
      <c r="E40" s="1"/>
      <c r="F40" s="1"/>
      <c r="G40" s="1"/>
      <c r="H40" s="1"/>
      <c r="I40" s="1"/>
      <c r="J40" s="1"/>
    </row>
    <row r="41" spans="2:10" ht="12.75">
      <c r="B41" s="1" t="s">
        <v>72</v>
      </c>
      <c r="C41" s="39" t="s">
        <v>73</v>
      </c>
      <c r="D41" s="3"/>
      <c r="E41" s="1"/>
      <c r="F41" s="1">
        <v>30500</v>
      </c>
      <c r="G41" s="1">
        <v>21297.8</v>
      </c>
      <c r="H41" s="1">
        <v>9202.2</v>
      </c>
      <c r="I41" s="1">
        <f>G41/G22*C5</f>
        <v>797.5003960491744</v>
      </c>
      <c r="J41" s="30">
        <f>I41/C5/12</f>
        <v>0.017945230420000863</v>
      </c>
    </row>
    <row r="42" spans="2:10" ht="12.75">
      <c r="B42" s="1"/>
      <c r="C42" s="38" t="s">
        <v>60</v>
      </c>
      <c r="D42" s="4"/>
      <c r="E42" s="2"/>
      <c r="F42" s="2">
        <v>1294367.4</v>
      </c>
      <c r="G42" s="2">
        <v>911819.85</v>
      </c>
      <c r="H42" s="2">
        <v>382547.6</v>
      </c>
      <c r="I42" s="2">
        <f>SUM(I35:I41)</f>
        <v>22010.633473437465</v>
      </c>
      <c r="J42" s="31">
        <f>SUM(J35:J41)</f>
        <v>0.4952798661013632</v>
      </c>
    </row>
    <row r="43" spans="2:10" ht="12.75">
      <c r="B43" s="1" t="s">
        <v>74</v>
      </c>
      <c r="C43" s="38" t="s">
        <v>37</v>
      </c>
      <c r="D43" s="4"/>
      <c r="E43" s="2"/>
      <c r="F43" s="2">
        <v>5004925.7</v>
      </c>
      <c r="G43" s="2">
        <v>3548598.7</v>
      </c>
      <c r="H43" s="2">
        <v>1456327</v>
      </c>
      <c r="I43" s="2">
        <f>G43/G22*C5</f>
        <v>132877.99062201663</v>
      </c>
      <c r="J43" s="31">
        <f>I43/C5/12</f>
        <v>2.9899999689928314</v>
      </c>
    </row>
    <row r="44" spans="2:10" ht="25.5">
      <c r="B44" s="1" t="s">
        <v>75</v>
      </c>
      <c r="C44" s="38" t="s">
        <v>38</v>
      </c>
      <c r="D44" s="4"/>
      <c r="E44" s="2">
        <v>141634.46</v>
      </c>
      <c r="F44" s="2"/>
      <c r="G44" s="2">
        <v>98901.86</v>
      </c>
      <c r="H44" s="2">
        <v>42732.6</v>
      </c>
      <c r="I44" s="2"/>
      <c r="J44" s="2"/>
    </row>
    <row r="45" spans="2:10" ht="51">
      <c r="B45" s="1" t="s">
        <v>76</v>
      </c>
      <c r="C45" s="39" t="s">
        <v>77</v>
      </c>
      <c r="D45" s="3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14593.963677326192</v>
      </c>
      <c r="J45" s="30">
        <f>I45/C5/12</f>
        <v>0.3283911108109258</v>
      </c>
    </row>
    <row r="46" spans="2:10" ht="63.75">
      <c r="B46" s="1" t="s">
        <v>78</v>
      </c>
      <c r="C46" s="39" t="s">
        <v>201</v>
      </c>
      <c r="D46" s="3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4961.938438771525</v>
      </c>
      <c r="J46" s="30">
        <f>I46/C5/12</f>
        <v>0.11165277039953209</v>
      </c>
    </row>
    <row r="47" spans="2:10" ht="89.25">
      <c r="B47" s="1" t="s">
        <v>80</v>
      </c>
      <c r="C47" s="40" t="s">
        <v>129</v>
      </c>
      <c r="D47" s="3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2915.775401190635</v>
      </c>
      <c r="J47" s="30">
        <f>I47/C5/12</f>
        <v>0.06561032657356831</v>
      </c>
    </row>
    <row r="48" spans="2:10" ht="12.75">
      <c r="B48" s="1"/>
      <c r="C48" s="38" t="s">
        <v>202</v>
      </c>
      <c r="D48" s="3"/>
      <c r="E48" s="1"/>
      <c r="F48" s="1"/>
      <c r="G48" s="1"/>
      <c r="H48" s="1"/>
      <c r="I48" s="1"/>
      <c r="J48" s="1"/>
    </row>
    <row r="49" spans="2:10" ht="12.75">
      <c r="B49" s="1"/>
      <c r="C49" s="39"/>
      <c r="D49" s="3" t="s">
        <v>71</v>
      </c>
      <c r="E49" s="1"/>
      <c r="F49" s="1"/>
      <c r="G49" s="1"/>
      <c r="H49" s="1"/>
      <c r="I49" s="1"/>
      <c r="J49" s="1"/>
    </row>
    <row r="50" spans="2:10" ht="12.75">
      <c r="B50" s="1"/>
      <c r="C50" s="38" t="s">
        <v>60</v>
      </c>
      <c r="D50" s="4"/>
      <c r="E50" s="2"/>
      <c r="F50" s="2">
        <v>859417.1</v>
      </c>
      <c r="G50" s="2">
        <v>600121.9</v>
      </c>
      <c r="H50" s="2">
        <v>259295.1</v>
      </c>
      <c r="I50" s="2">
        <f>SUM(I45:I49)</f>
        <v>22471.677517288354</v>
      </c>
      <c r="J50" s="31">
        <f>SUM(J45:J49)</f>
        <v>0.5056542077840263</v>
      </c>
    </row>
    <row r="51" spans="2:10" ht="38.25">
      <c r="B51" s="1" t="s">
        <v>81</v>
      </c>
      <c r="C51" s="38" t="s">
        <v>39</v>
      </c>
      <c r="D51" s="4"/>
      <c r="E51" s="2">
        <v>141634.46</v>
      </c>
      <c r="F51" s="2"/>
      <c r="G51" s="2">
        <v>98901.86</v>
      </c>
      <c r="H51" s="2">
        <v>42732.6</v>
      </c>
      <c r="I51" s="1"/>
      <c r="J51" s="1"/>
    </row>
    <row r="52" spans="2:10" ht="25.5">
      <c r="B52" s="1" t="s">
        <v>82</v>
      </c>
      <c r="C52" s="39" t="s">
        <v>83</v>
      </c>
      <c r="D52" s="3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17454.009386274436</v>
      </c>
      <c r="J52" s="30">
        <f>I52/C5/12</f>
        <v>0.3927474164793261</v>
      </c>
    </row>
    <row r="53" spans="2:10" ht="38.25">
      <c r="B53" s="1" t="s">
        <v>84</v>
      </c>
      <c r="C53" s="39" t="s">
        <v>85</v>
      </c>
      <c r="D53" s="3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5934.364090018124</v>
      </c>
      <c r="J53" s="30">
        <f>I53/C5/12</f>
        <v>0.13353414182503745</v>
      </c>
    </row>
    <row r="54" spans="2:10" ht="51">
      <c r="B54" s="1" t="s">
        <v>86</v>
      </c>
      <c r="C54" s="39" t="s">
        <v>87</v>
      </c>
      <c r="D54" s="3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11663.097860242466</v>
      </c>
      <c r="J54" s="30">
        <f>I54/C5/12</f>
        <v>0.2624412220356624</v>
      </c>
    </row>
    <row r="55" spans="2:10" ht="25.5">
      <c r="B55" s="1" t="s">
        <v>88</v>
      </c>
      <c r="C55" s="39" t="s">
        <v>130</v>
      </c>
      <c r="D55" s="3"/>
      <c r="E55" s="1"/>
      <c r="F55" s="1"/>
      <c r="G55" s="1"/>
      <c r="H55" s="1"/>
      <c r="I55" s="1"/>
      <c r="J55" s="1"/>
    </row>
    <row r="56" spans="2:10" ht="38.25">
      <c r="B56" s="1" t="s">
        <v>89</v>
      </c>
      <c r="C56" s="39" t="s">
        <v>90</v>
      </c>
      <c r="D56" s="3" t="s">
        <v>71</v>
      </c>
      <c r="E56" s="1"/>
      <c r="F56" s="1"/>
      <c r="G56" s="1"/>
      <c r="H56" s="1"/>
      <c r="I56" s="1"/>
      <c r="J56" s="1"/>
    </row>
    <row r="57" spans="2:10" ht="63.75">
      <c r="B57" s="1" t="s">
        <v>91</v>
      </c>
      <c r="C57" s="39" t="s">
        <v>92</v>
      </c>
      <c r="D57" s="3"/>
      <c r="E57" s="1"/>
      <c r="F57" s="1"/>
      <c r="G57" s="1"/>
      <c r="H57" s="1"/>
      <c r="I57" s="1"/>
      <c r="J57" s="1"/>
    </row>
    <row r="58" spans="2:10" ht="25.5">
      <c r="B58" s="1" t="s">
        <v>93</v>
      </c>
      <c r="C58" s="39" t="s">
        <v>94</v>
      </c>
      <c r="D58" s="3"/>
      <c r="E58" s="1"/>
      <c r="F58" s="1"/>
      <c r="G58" s="1"/>
      <c r="H58" s="1"/>
      <c r="I58" s="1"/>
      <c r="J58" s="1"/>
    </row>
    <row r="59" spans="2:10" ht="12.75">
      <c r="B59" s="1"/>
      <c r="C59" s="38" t="s">
        <v>60</v>
      </c>
      <c r="D59" s="4"/>
      <c r="E59" s="2"/>
      <c r="F59" s="2">
        <v>1340523.8</v>
      </c>
      <c r="G59" s="2">
        <v>936073.8</v>
      </c>
      <c r="H59" s="2">
        <v>404450.1</v>
      </c>
      <c r="I59" s="2">
        <f>SUM(I52:I58)</f>
        <v>35051.471336535025</v>
      </c>
      <c r="J59" s="31">
        <f>SUM(J52:J58)</f>
        <v>0.7887227803400259</v>
      </c>
    </row>
    <row r="60" spans="2:10" ht="38.25">
      <c r="B60" s="1" t="s">
        <v>95</v>
      </c>
      <c r="C60" s="38" t="s">
        <v>481</v>
      </c>
      <c r="D60" s="4"/>
      <c r="E60" s="2">
        <v>141634.46</v>
      </c>
      <c r="F60" s="2"/>
      <c r="G60" s="2">
        <v>98901.86</v>
      </c>
      <c r="H60" s="2">
        <v>42732.6</v>
      </c>
      <c r="I60" s="1"/>
      <c r="J60" s="1"/>
    </row>
    <row r="61" spans="2:10" ht="25.5">
      <c r="B61" s="1" t="s">
        <v>96</v>
      </c>
      <c r="C61" s="39" t="s">
        <v>97</v>
      </c>
      <c r="D61" s="3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79309.84505872791</v>
      </c>
      <c r="J61" s="30">
        <f>I61/C5/12</f>
        <v>1.7846178524852816</v>
      </c>
    </row>
    <row r="62" spans="2:10" ht="12.75">
      <c r="B62" s="1" t="s">
        <v>98</v>
      </c>
      <c r="C62" s="39" t="s">
        <v>99</v>
      </c>
      <c r="D62" s="3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26965.348742885122</v>
      </c>
      <c r="J62" s="30">
        <f>I62/C5/12</f>
        <v>0.606770101863268</v>
      </c>
    </row>
    <row r="63" spans="2:10" ht="12.75">
      <c r="B63" s="1" t="s">
        <v>100</v>
      </c>
      <c r="C63" s="39" t="s">
        <v>101</v>
      </c>
      <c r="D63" s="3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18814.10145613035</v>
      </c>
      <c r="J63" s="30">
        <f>I63/C5/12</f>
        <v>0.4233519976267382</v>
      </c>
    </row>
    <row r="64" spans="2:10" ht="25.5">
      <c r="B64" s="1" t="s">
        <v>102</v>
      </c>
      <c r="C64" s="39" t="s">
        <v>103</v>
      </c>
      <c r="D64" s="3"/>
      <c r="E64" s="1"/>
      <c r="F64" s="1"/>
      <c r="G64" s="1"/>
      <c r="H64" s="1"/>
      <c r="I64" s="1"/>
      <c r="J64" s="30"/>
    </row>
    <row r="65" spans="2:10" ht="51">
      <c r="B65" s="1" t="s">
        <v>104</v>
      </c>
      <c r="C65" s="38" t="s">
        <v>180</v>
      </c>
      <c r="D65" s="3" t="s">
        <v>71</v>
      </c>
      <c r="E65" s="1"/>
      <c r="F65" s="1"/>
      <c r="G65" s="1"/>
      <c r="H65" s="1"/>
      <c r="I65" s="1"/>
      <c r="J65" s="30"/>
    </row>
    <row r="66" spans="2:10" ht="38.25">
      <c r="B66" s="1" t="s">
        <v>105</v>
      </c>
      <c r="C66" s="39" t="s">
        <v>106</v>
      </c>
      <c r="D66" s="3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>
        <f>G66/5*C12</f>
        <v>13085.22</v>
      </c>
      <c r="J66" s="30">
        <f>I66/C5/12</f>
        <v>0.29444159421072524</v>
      </c>
    </row>
    <row r="67" spans="2:10" ht="12.75">
      <c r="B67" s="1"/>
      <c r="C67" s="38" t="s">
        <v>60</v>
      </c>
      <c r="D67" s="4"/>
      <c r="E67" s="2"/>
      <c r="F67" s="2">
        <v>4855938.6</v>
      </c>
      <c r="G67" s="2">
        <v>3373309.1</v>
      </c>
      <c r="H67" s="2">
        <v>1482629.5</v>
      </c>
      <c r="I67" s="2">
        <f>SUM(I61:I66)</f>
        <v>138174.51525774336</v>
      </c>
      <c r="J67" s="31">
        <f>SUM(J61:J66)</f>
        <v>3.1091815461860133</v>
      </c>
    </row>
    <row r="68" spans="2:10" ht="12.75">
      <c r="B68" s="1" t="s">
        <v>109</v>
      </c>
      <c r="C68" s="38" t="s">
        <v>482</v>
      </c>
      <c r="D68" s="4"/>
      <c r="E68" s="2">
        <v>141634.46</v>
      </c>
      <c r="F68" s="2"/>
      <c r="G68" s="2">
        <v>98901.86</v>
      </c>
      <c r="H68" s="2">
        <v>42732.6</v>
      </c>
      <c r="I68" s="2"/>
      <c r="J68" s="1"/>
    </row>
    <row r="69" spans="2:10" ht="51">
      <c r="B69" s="1" t="s">
        <v>110</v>
      </c>
      <c r="C69" s="39" t="s">
        <v>483</v>
      </c>
      <c r="D69" s="3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7267.038783901536</v>
      </c>
      <c r="J69" s="30">
        <f>I69/C5/12</f>
        <v>0.1635217814238613</v>
      </c>
    </row>
    <row r="70" spans="2:10" ht="12.75">
      <c r="B70" s="1"/>
      <c r="C70" s="39"/>
      <c r="D70" s="3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2470.7953583481644</v>
      </c>
      <c r="J70" s="30">
        <f>I70/C5/12</f>
        <v>0.05559745455410714</v>
      </c>
    </row>
    <row r="71" spans="2:10" ht="12.75">
      <c r="B71" s="1"/>
      <c r="C71" s="39"/>
      <c r="D71" s="3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2090.449476481029</v>
      </c>
      <c r="J71" s="30">
        <f>I71/C5/12</f>
        <v>0.04703897041639729</v>
      </c>
    </row>
    <row r="72" spans="2:10" ht="25.5">
      <c r="B72" s="1"/>
      <c r="C72" s="39"/>
      <c r="D72" s="3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12887.83301850946</v>
      </c>
      <c r="J72" s="30">
        <f>I72/C5/12</f>
        <v>0.29000002291834215</v>
      </c>
    </row>
    <row r="73" spans="2:10" ht="12.75">
      <c r="B73" s="1"/>
      <c r="C73" s="39"/>
      <c r="D73" s="3"/>
      <c r="E73" s="1"/>
      <c r="F73" s="1"/>
      <c r="G73" s="1"/>
      <c r="H73" s="1"/>
      <c r="I73" s="1"/>
      <c r="J73" s="30"/>
    </row>
    <row r="74" spans="2:10" ht="12.75">
      <c r="B74" s="1"/>
      <c r="C74" s="38" t="s">
        <v>60</v>
      </c>
      <c r="D74" s="4"/>
      <c r="E74" s="2"/>
      <c r="F74" s="2">
        <v>1334975.3</v>
      </c>
      <c r="G74" s="2">
        <v>660060.9</v>
      </c>
      <c r="H74" s="2">
        <v>674914.3</v>
      </c>
      <c r="I74" s="2">
        <f>SUM(I69:I73)</f>
        <v>24716.11663724019</v>
      </c>
      <c r="J74" s="31">
        <f>SUM(J69:J73)</f>
        <v>0.5561582293127079</v>
      </c>
    </row>
    <row r="75" spans="2:10" ht="12.75">
      <c r="B75" s="1" t="s">
        <v>113</v>
      </c>
      <c r="C75" s="38" t="s">
        <v>484</v>
      </c>
      <c r="D75" s="4"/>
      <c r="E75" s="2">
        <v>15</v>
      </c>
      <c r="F75" s="2">
        <v>1600212</v>
      </c>
      <c r="G75" s="2"/>
      <c r="H75" s="2">
        <v>1600212</v>
      </c>
      <c r="I75" s="2"/>
      <c r="J75" s="2"/>
    </row>
    <row r="76" spans="2:10" ht="12.75">
      <c r="B76" s="1"/>
      <c r="C76" s="39" t="s">
        <v>114</v>
      </c>
      <c r="D76" s="3"/>
      <c r="E76" s="1"/>
      <c r="F76" s="1">
        <v>1431000</v>
      </c>
      <c r="G76" s="1"/>
      <c r="H76" s="1">
        <v>1431000</v>
      </c>
      <c r="I76" s="1"/>
      <c r="J76" s="1"/>
    </row>
    <row r="77" spans="2:10" ht="12.75">
      <c r="B77" s="1"/>
      <c r="C77" s="39" t="s">
        <v>115</v>
      </c>
      <c r="D77" s="3"/>
      <c r="E77" s="1"/>
      <c r="F77" s="1">
        <v>169212</v>
      </c>
      <c r="G77" s="1"/>
      <c r="H77" s="1">
        <v>169212</v>
      </c>
      <c r="I77" s="1"/>
      <c r="J77" s="1"/>
    </row>
    <row r="78" spans="2:10" ht="12.75">
      <c r="B78" s="1" t="s">
        <v>116</v>
      </c>
      <c r="C78" s="39" t="s">
        <v>485</v>
      </c>
      <c r="D78" s="3"/>
      <c r="E78" s="1"/>
      <c r="F78" s="1"/>
      <c r="G78" s="1"/>
      <c r="H78" s="1"/>
      <c r="I78" s="1"/>
      <c r="J78" s="1"/>
    </row>
    <row r="79" spans="2:10" ht="12.75">
      <c r="B79" s="1"/>
      <c r="C79" s="39"/>
      <c r="D79" s="3"/>
      <c r="E79" s="1"/>
      <c r="F79" s="1"/>
      <c r="G79" s="1"/>
      <c r="H79" s="1"/>
      <c r="I79" s="1"/>
      <c r="J79" s="1"/>
    </row>
    <row r="80" spans="2:10" ht="12.75">
      <c r="B80" s="2" t="s">
        <v>117</v>
      </c>
      <c r="C80" s="38"/>
      <c r="D80" s="4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440395.8148926435</v>
      </c>
      <c r="J80" s="31">
        <f>J33+J42+J43+J50+J59+J67+J74</f>
        <v>9.909718431995902</v>
      </c>
    </row>
    <row r="81" spans="2:10" ht="12.75">
      <c r="B81" s="1"/>
      <c r="C81" s="39" t="s">
        <v>118</v>
      </c>
      <c r="D81" s="3"/>
      <c r="E81" s="1"/>
      <c r="F81" s="1">
        <v>1724360</v>
      </c>
      <c r="G81" s="1">
        <v>1204102.5</v>
      </c>
      <c r="H81" s="1">
        <v>520257.5</v>
      </c>
      <c r="I81" s="1">
        <f>G81/G80*I80</f>
        <v>46103.29404333835</v>
      </c>
      <c r="J81" s="30">
        <f>I81/C5/12*0.838</f>
        <v>0.8693488957965998</v>
      </c>
    </row>
    <row r="82" spans="2:10" ht="25.5">
      <c r="B82" s="1"/>
      <c r="C82" s="39" t="s">
        <v>119</v>
      </c>
      <c r="D82" s="3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123430.16963564072</v>
      </c>
      <c r="J82" s="30">
        <f>I82/C5/12</f>
        <v>2.7774065641401755</v>
      </c>
    </row>
    <row r="83" spans="2:10" ht="12.75">
      <c r="B83" s="2" t="s">
        <v>590</v>
      </c>
      <c r="C83" s="38"/>
      <c r="D83" s="4"/>
      <c r="E83" s="2"/>
      <c r="F83" s="2">
        <v>26668865.67</v>
      </c>
      <c r="G83" s="2">
        <v>15929824.3</v>
      </c>
      <c r="H83" s="2">
        <v>10739041.4</v>
      </c>
      <c r="I83" s="2">
        <f>I80+I81+I82</f>
        <v>609929.2785716226</v>
      </c>
      <c r="J83" s="31">
        <f>J80+J81+J82</f>
        <v>13.556473891932677</v>
      </c>
    </row>
    <row r="84" spans="2:10" ht="12.75">
      <c r="B84" s="1" t="s">
        <v>120</v>
      </c>
      <c r="C84" s="39"/>
      <c r="D84" s="3"/>
      <c r="E84" s="1"/>
      <c r="F84" s="1">
        <v>1333443.28</v>
      </c>
      <c r="G84" s="1">
        <v>796491.2</v>
      </c>
      <c r="H84" s="1">
        <v>536952.07</v>
      </c>
      <c r="I84" s="1">
        <f>G84/G83*I83</f>
        <v>30496.463354253436</v>
      </c>
      <c r="J84" s="30"/>
    </row>
    <row r="85" spans="2:10" ht="12.75">
      <c r="B85" s="1"/>
      <c r="C85" s="38" t="s">
        <v>121</v>
      </c>
      <c r="D85" s="4"/>
      <c r="E85" s="2"/>
      <c r="F85" s="2">
        <v>28002308.95</v>
      </c>
      <c r="G85" s="2">
        <v>16726315.5</v>
      </c>
      <c r="H85" s="2">
        <v>11275993.5</v>
      </c>
      <c r="I85" s="2">
        <f>I83+I84</f>
        <v>640425.741925876</v>
      </c>
      <c r="J85" s="31">
        <f>J83+J84</f>
        <v>13.556473891932677</v>
      </c>
    </row>
    <row r="86" spans="2:10" ht="12.75">
      <c r="B86" s="1"/>
      <c r="C86" s="39"/>
      <c r="D86" s="3"/>
      <c r="E86" s="1"/>
      <c r="F86" s="1"/>
      <c r="G86" s="1"/>
      <c r="H86" s="1"/>
      <c r="I86" s="1"/>
      <c r="J86" s="1"/>
    </row>
    <row r="87" ht="12.75">
      <c r="J87" t="s">
        <v>226</v>
      </c>
    </row>
  </sheetData>
  <mergeCells count="11">
    <mergeCell ref="F14:F18"/>
    <mergeCell ref="G14:H14"/>
    <mergeCell ref="I14:J14"/>
    <mergeCell ref="G15:G18"/>
    <mergeCell ref="H15:H18"/>
    <mergeCell ref="I15:I18"/>
    <mergeCell ref="J15:J18"/>
    <mergeCell ref="B14:B18"/>
    <mergeCell ref="C14:C18"/>
    <mergeCell ref="D14:D18"/>
    <mergeCell ref="E14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4:N99"/>
  <sheetViews>
    <sheetView workbookViewId="0" topLeftCell="A4">
      <pane xSplit="1" ySplit="15" topLeftCell="B64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T69" sqref="T69"/>
    </sheetView>
  </sheetViews>
  <sheetFormatPr defaultColWidth="9.140625" defaultRowHeight="12.75"/>
  <cols>
    <col min="2" max="2" width="10.140625" style="0" customWidth="1"/>
    <col min="3" max="3" width="39.7109375" style="0" customWidth="1"/>
    <col min="4" max="4" width="18.00390625" style="0" hidden="1" customWidth="1"/>
    <col min="5" max="5" width="12.140625" style="0" hidden="1" customWidth="1"/>
    <col min="6" max="6" width="14.00390625" style="0" hidden="1" customWidth="1"/>
    <col min="7" max="7" width="10.8515625" style="0" hidden="1" customWidth="1"/>
    <col min="8" max="8" width="12.57421875" style="0" hidden="1" customWidth="1"/>
    <col min="9" max="9" width="10.8515625" style="0" hidden="1" customWidth="1"/>
    <col min="10" max="10" width="9.421875" style="0" customWidth="1"/>
    <col min="11" max="11" width="14.140625" style="0" hidden="1" customWidth="1"/>
    <col min="12" max="12" width="13.7109375" style="0" customWidth="1"/>
    <col min="13" max="13" width="11.7109375" style="0" customWidth="1"/>
  </cols>
  <sheetData>
    <row r="4" spans="2:3" ht="12.75">
      <c r="B4" s="5" t="s">
        <v>487</v>
      </c>
      <c r="C4" s="5" t="s">
        <v>170</v>
      </c>
    </row>
    <row r="5" spans="2:3" ht="12.75">
      <c r="B5" t="s">
        <v>488</v>
      </c>
      <c r="C5">
        <v>2416.3</v>
      </c>
    </row>
    <row r="6" spans="2:3" ht="12.75">
      <c r="B6" t="s">
        <v>489</v>
      </c>
      <c r="C6">
        <v>2000</v>
      </c>
    </row>
    <row r="7" spans="2:3" ht="12.75">
      <c r="B7" t="s">
        <v>490</v>
      </c>
      <c r="C7">
        <v>497</v>
      </c>
    </row>
    <row r="8" spans="2:3" ht="12.75">
      <c r="B8" t="s">
        <v>491</v>
      </c>
      <c r="C8">
        <v>289.7</v>
      </c>
    </row>
    <row r="9" spans="2:3" ht="12.75">
      <c r="B9" t="s">
        <v>492</v>
      </c>
      <c r="C9">
        <v>3</v>
      </c>
    </row>
    <row r="10" spans="2:3" ht="12.75">
      <c r="B10" t="s">
        <v>493</v>
      </c>
      <c r="C10">
        <v>65</v>
      </c>
    </row>
    <row r="11" spans="2:3" ht="12.75">
      <c r="B11" t="s">
        <v>494</v>
      </c>
      <c r="C11">
        <v>5</v>
      </c>
    </row>
    <row r="12" spans="2:3" ht="12.75">
      <c r="B12" t="s">
        <v>547</v>
      </c>
      <c r="C12">
        <v>1</v>
      </c>
    </row>
    <row r="14" spans="2:13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</row>
    <row r="15" spans="2:13" ht="12.75" customHeight="1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0" t="s">
        <v>171</v>
      </c>
      <c r="L15" s="80" t="s">
        <v>223</v>
      </c>
      <c r="M15" s="74" t="s">
        <v>308</v>
      </c>
    </row>
    <row r="16" spans="2:13" ht="12.75">
      <c r="B16" s="74"/>
      <c r="C16" s="74"/>
      <c r="D16" s="74"/>
      <c r="E16" s="74"/>
      <c r="F16" s="74"/>
      <c r="G16" s="74"/>
      <c r="H16" s="74"/>
      <c r="I16" s="74"/>
      <c r="J16" s="74"/>
      <c r="K16" s="70"/>
      <c r="L16" s="80"/>
      <c r="M16" s="74"/>
    </row>
    <row r="17" spans="2:13" ht="12.75">
      <c r="B17" s="74"/>
      <c r="C17" s="74"/>
      <c r="D17" s="74"/>
      <c r="E17" s="74"/>
      <c r="F17" s="74"/>
      <c r="G17" s="74"/>
      <c r="H17" s="74"/>
      <c r="I17" s="74"/>
      <c r="J17" s="74"/>
      <c r="K17" s="70"/>
      <c r="L17" s="80"/>
      <c r="M17" s="74"/>
    </row>
    <row r="18" spans="2:13" ht="12.75">
      <c r="B18" s="74"/>
      <c r="C18" s="74"/>
      <c r="D18" s="74"/>
      <c r="E18" s="74"/>
      <c r="F18" s="74"/>
      <c r="G18" s="74"/>
      <c r="H18" s="74"/>
      <c r="I18" s="74"/>
      <c r="J18" s="74"/>
      <c r="K18" s="70"/>
      <c r="L18" s="80"/>
      <c r="M18" s="74"/>
    </row>
    <row r="19" spans="2:13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</row>
    <row r="23" spans="2:13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</row>
    <row r="25" spans="2:13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</row>
    <row r="26" spans="2:13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28019.784428800056</v>
      </c>
      <c r="J27" s="30">
        <f>I27/C5/12</f>
        <v>0.966346081088167</v>
      </c>
      <c r="K27" s="7">
        <f>J27*C5*1</f>
        <v>2334.9820357333383</v>
      </c>
      <c r="L27" s="7">
        <f>J27*C5*4</f>
        <v>9339.928142933353</v>
      </c>
      <c r="M27" s="48">
        <f>J27*C5*7</f>
        <v>16344.874250133369</v>
      </c>
    </row>
    <row r="28" spans="2:13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9526.725955391914</v>
      </c>
      <c r="J28" s="30">
        <f>I28/C5/12</f>
        <v>0.3285576416901845</v>
      </c>
      <c r="K28" s="7">
        <f>J28*C5*1</f>
        <v>793.8938296159928</v>
      </c>
      <c r="L28" s="7">
        <f>J28*C5*4</f>
        <v>3175.575318463971</v>
      </c>
      <c r="M28" s="48">
        <f>J28*C5*7</f>
        <v>5557.256807311949</v>
      </c>
    </row>
    <row r="29" spans="2:13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1904.4538229553084</v>
      </c>
      <c r="J29" s="30">
        <f>I29/C5/12</f>
        <v>0.06568078684197975</v>
      </c>
      <c r="K29" s="7">
        <f>J29*C5*1</f>
        <v>158.70448524627568</v>
      </c>
      <c r="L29" s="7">
        <f>J29*C5*4</f>
        <v>634.8179409851027</v>
      </c>
      <c r="M29" s="48">
        <f>J29*C5*7</f>
        <v>1110.9313967239298</v>
      </c>
    </row>
    <row r="30" spans="2:13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7"/>
      <c r="L30" s="7"/>
      <c r="M30" s="2"/>
    </row>
    <row r="31" spans="2:13" ht="25.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7"/>
      <c r="L31" s="7"/>
      <c r="M31" s="2"/>
    </row>
    <row r="32" spans="2:13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7"/>
      <c r="L32" s="7"/>
      <c r="M32" s="2"/>
    </row>
    <row r="33" spans="2:13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>SUM(I27:I32)</f>
        <v>39450.96420714728</v>
      </c>
      <c r="J33" s="31">
        <f>SUM(J27:J32)</f>
        <v>1.3605845096203313</v>
      </c>
      <c r="K33" s="6">
        <f>SUM(K27:K32)</f>
        <v>3287.5803505956064</v>
      </c>
      <c r="L33" s="6">
        <f>SUM(L27:L32)</f>
        <v>13150.321402382426</v>
      </c>
      <c r="M33" s="2">
        <f>SUM(M27:M32)</f>
        <v>23013.062454169245</v>
      </c>
    </row>
    <row r="34" spans="2:13" ht="38.25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7"/>
      <c r="L34" s="7"/>
      <c r="M34" s="1"/>
    </row>
    <row r="35" spans="2:13" ht="12.7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18311.266429094547</v>
      </c>
      <c r="J35" s="30">
        <f>I35/C5/12</f>
        <v>0.6315187969586608</v>
      </c>
      <c r="K35" s="7">
        <f>J35*C5*1</f>
        <v>1525.9388690912122</v>
      </c>
      <c r="L35" s="7">
        <f>J35*C5*4</f>
        <v>6103.755476364849</v>
      </c>
      <c r="M35" s="1">
        <f>J35*C5*7</f>
        <v>10681.572083638484</v>
      </c>
    </row>
    <row r="36" spans="2:13" ht="12.75">
      <c r="B36" s="1" t="s">
        <v>63</v>
      </c>
      <c r="C36" s="3" t="s">
        <v>311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6225.831286793696</v>
      </c>
      <c r="J36" s="30">
        <f>I36/C5/12</f>
        <v>0.21471641513863124</v>
      </c>
      <c r="K36" s="7">
        <f>J36*C5*1</f>
        <v>518.8192738994748</v>
      </c>
      <c r="L36" s="7">
        <f>J36*C5*4</f>
        <v>2075.277095597899</v>
      </c>
      <c r="M36" s="1">
        <f>J36*C5*7</f>
        <v>3631.734917296323</v>
      </c>
    </row>
    <row r="37" spans="2:13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2594.590982976975</v>
      </c>
      <c r="J37" s="30">
        <f>I37/C5/12</f>
        <v>0.08948223119980185</v>
      </c>
      <c r="K37" s="7">
        <f>J37*C5*1</f>
        <v>216.21591524808122</v>
      </c>
      <c r="L37" s="7">
        <f>J37*C5*4</f>
        <v>864.8636609923249</v>
      </c>
      <c r="M37" s="1">
        <f>J37*C5*7</f>
        <v>1513.5114067365685</v>
      </c>
    </row>
    <row r="38" spans="2:13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1239.5985503252261</v>
      </c>
      <c r="J38" s="30">
        <f>I38/C5/12</f>
        <v>0.042751263996096855</v>
      </c>
      <c r="K38" s="7">
        <f>J38*C5*1</f>
        <v>103.29987919376885</v>
      </c>
      <c r="L38" s="7">
        <f>J38*C5*4</f>
        <v>413.1995167750754</v>
      </c>
      <c r="M38" s="1">
        <f>J38*C5*7</f>
        <v>723.0991543563819</v>
      </c>
    </row>
    <row r="39" spans="2:13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7"/>
      <c r="L39" s="7"/>
      <c r="M39" s="1"/>
    </row>
    <row r="40" spans="2:13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7"/>
      <c r="L40" s="7"/>
      <c r="M40" s="1"/>
    </row>
    <row r="41" spans="2:13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520.3327231661771</v>
      </c>
      <c r="J41" s="30">
        <f>I41/C5/12</f>
        <v>0.017945230420000863</v>
      </c>
      <c r="K41" s="7">
        <f>J41*C5*1</f>
        <v>43.36106026384809</v>
      </c>
      <c r="L41" s="7">
        <f>J41*C5*4</f>
        <v>173.44424105539235</v>
      </c>
      <c r="M41" s="1">
        <f>J41*C5*7</f>
        <v>303.5274218469366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>SUM(I35:I41)</f>
        <v>28891.61997235662</v>
      </c>
      <c r="J42" s="31">
        <f>SUM(J35:J41)</f>
        <v>0.9964139377131915</v>
      </c>
      <c r="K42" s="6">
        <f>SUM(K35:K41)</f>
        <v>2407.634997696385</v>
      </c>
      <c r="L42" s="6">
        <f>SUM(L35:L41)</f>
        <v>9630.53999078554</v>
      </c>
      <c r="M42" s="2">
        <f>SUM(M35:M41)</f>
        <v>16853.444983874695</v>
      </c>
      <c r="N42" s="5"/>
    </row>
    <row r="43" spans="2:14" ht="12.7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86696.84310092854</v>
      </c>
      <c r="J43" s="31">
        <f>I43/C5/12</f>
        <v>2.9899999689928314</v>
      </c>
      <c r="K43" s="6">
        <f>J43*C5*1</f>
        <v>7224.736925077379</v>
      </c>
      <c r="L43" s="6">
        <f>J43*C5*4</f>
        <v>28898.947700309516</v>
      </c>
      <c r="M43" s="2">
        <f>J43*C5*7</f>
        <v>50573.158475541655</v>
      </c>
      <c r="N43" s="5"/>
    </row>
    <row r="44" spans="2:13" ht="25.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7"/>
      <c r="L44" s="7"/>
      <c r="M44" s="1"/>
    </row>
    <row r="45" spans="2:13" ht="51">
      <c r="B45" s="1" t="s">
        <v>76</v>
      </c>
      <c r="C45" s="3" t="s">
        <v>77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9521.89729262928</v>
      </c>
      <c r="J45" s="30">
        <f>I45/C5/12</f>
        <v>0.3283911108109258</v>
      </c>
      <c r="K45" s="7">
        <f>J45*C5*1</f>
        <v>793.4914410524401</v>
      </c>
      <c r="L45" s="7">
        <f>J45*C5*4</f>
        <v>3173.9657642097604</v>
      </c>
      <c r="M45" s="1">
        <f>J45*C5*7</f>
        <v>5554.440087367081</v>
      </c>
    </row>
    <row r="46" spans="2:13" ht="63.75">
      <c r="B46" s="1" t="s">
        <v>78</v>
      </c>
      <c r="C46" s="3" t="s">
        <v>428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3237.439069396673</v>
      </c>
      <c r="J46" s="30">
        <f>I46/C5/12</f>
        <v>0.11165277039953209</v>
      </c>
      <c r="K46" s="7">
        <f>J46*C5*1</f>
        <v>269.7865891163894</v>
      </c>
      <c r="L46" s="7">
        <f>J46*C5*2</f>
        <v>539.5731782327788</v>
      </c>
      <c r="M46" s="1">
        <f>J46*C5*7</f>
        <v>1888.5061238147257</v>
      </c>
    </row>
    <row r="47" spans="2:13" ht="89.2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1902.4107851965578</v>
      </c>
      <c r="J47" s="30">
        <f>I47/C5/12</f>
        <v>0.06561032657356831</v>
      </c>
      <c r="K47" s="7">
        <f>J47*C5*1</f>
        <v>158.53423209971314</v>
      </c>
      <c r="L47" s="7">
        <f>J47*C5*4</f>
        <v>634.1369283988525</v>
      </c>
      <c r="M47" s="1">
        <f>J47*C5*7</f>
        <v>1109.739624697992</v>
      </c>
    </row>
    <row r="48" spans="2:13" ht="12.75">
      <c r="B48" s="1"/>
      <c r="C48" s="3"/>
      <c r="D48" s="1"/>
      <c r="E48" s="1"/>
      <c r="F48" s="1"/>
      <c r="G48" s="1"/>
      <c r="H48" s="1"/>
      <c r="I48" s="1"/>
      <c r="J48" s="1"/>
      <c r="K48" s="7"/>
      <c r="L48" s="7"/>
      <c r="M48" s="1"/>
    </row>
    <row r="49" spans="2:13" ht="12.75">
      <c r="B49" s="1"/>
      <c r="C49" s="4" t="s">
        <v>248</v>
      </c>
      <c r="D49" s="1" t="s">
        <v>71</v>
      </c>
      <c r="E49" s="1"/>
      <c r="F49" s="1"/>
      <c r="G49" s="1"/>
      <c r="H49" s="1"/>
      <c r="I49" s="1"/>
      <c r="J49" s="1"/>
      <c r="K49" s="7"/>
      <c r="L49" s="7"/>
      <c r="M49" s="1"/>
    </row>
    <row r="50" spans="2:13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>SUM(I45:I49)</f>
        <v>14661.747147222512</v>
      </c>
      <c r="J50" s="31">
        <f>SUM(J45:J49)</f>
        <v>0.5056542077840263</v>
      </c>
      <c r="K50" s="6">
        <f>SUM(K45:K49)</f>
        <v>1221.8122622685426</v>
      </c>
      <c r="L50" s="6">
        <f>SUM(L45:L49)</f>
        <v>4347.675870841392</v>
      </c>
      <c r="M50" s="2">
        <f>SUM(M45:M49)</f>
        <v>8552.685835879798</v>
      </c>
    </row>
    <row r="51" spans="2:13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7"/>
      <c r="L51" s="7"/>
      <c r="M51" s="1"/>
    </row>
    <row r="52" spans="2:13" ht="25.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11387.946989267948</v>
      </c>
      <c r="J52" s="30">
        <f>I52/C5/12</f>
        <v>0.3927474164793261</v>
      </c>
      <c r="K52" s="7">
        <f>J52*C5*1</f>
        <v>948.9955824389957</v>
      </c>
      <c r="L52" s="7">
        <f>J52*C5*4</f>
        <v>3795.982329755983</v>
      </c>
      <c r="M52" s="1">
        <f>J52*C5*7</f>
        <v>6642.96907707297</v>
      </c>
    </row>
    <row r="53" spans="2:13" ht="25.5">
      <c r="B53" s="1" t="s">
        <v>84</v>
      </c>
      <c r="C53" s="3" t="s">
        <v>427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3871.9025627020565</v>
      </c>
      <c r="J53" s="30">
        <f>I53/C5/12</f>
        <v>0.13353414182503745</v>
      </c>
      <c r="K53" s="7">
        <f>J53*C5*1</f>
        <v>322.658546891838</v>
      </c>
      <c r="L53" s="7">
        <f>J53*C5*4</f>
        <v>1290.634187567352</v>
      </c>
      <c r="M53" s="1">
        <f>J53*C5*7</f>
        <v>2258.609828242866</v>
      </c>
    </row>
    <row r="54" spans="2:13" ht="51">
      <c r="B54" s="1" t="s">
        <v>86</v>
      </c>
      <c r="C54" s="3" t="s">
        <v>467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7609.640697657253</v>
      </c>
      <c r="J54" s="30">
        <f>I54/C5/12</f>
        <v>0.2624412220356624</v>
      </c>
      <c r="K54" s="7">
        <f>J54*C5*1</f>
        <v>634.1367248047711</v>
      </c>
      <c r="L54" s="7">
        <f>J54*C5*4</f>
        <v>2536.5468992190845</v>
      </c>
      <c r="M54" s="1">
        <f>J54*C5*7</f>
        <v>4438.957073633398</v>
      </c>
    </row>
    <row r="55" spans="2:13" ht="25.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7"/>
      <c r="L55" s="7"/>
      <c r="M55" s="1"/>
    </row>
    <row r="56" spans="2:13" ht="25.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7"/>
      <c r="L56" s="7"/>
      <c r="M56" s="1"/>
    </row>
    <row r="57" spans="2:13" ht="63.7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7"/>
      <c r="L57" s="7"/>
      <c r="M57" s="1"/>
    </row>
    <row r="58" spans="2:13" ht="12.75">
      <c r="B58" s="1" t="s">
        <v>93</v>
      </c>
      <c r="C58" s="3"/>
      <c r="D58" s="1"/>
      <c r="E58" s="1"/>
      <c r="F58" s="1"/>
      <c r="G58" s="1"/>
      <c r="H58" s="1"/>
      <c r="I58" s="1"/>
      <c r="J58" s="1"/>
      <c r="K58" s="7"/>
      <c r="L58" s="7"/>
      <c r="M58" s="1"/>
    </row>
    <row r="59" spans="2:13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>SUM(I52:I58)</f>
        <v>22869.49024962726</v>
      </c>
      <c r="J59" s="31">
        <f>SUM(J52:J58)</f>
        <v>0.7887227803400259</v>
      </c>
      <c r="K59" s="6">
        <f>SUM(K52:K58)</f>
        <v>1905.7908541356048</v>
      </c>
      <c r="L59" s="6">
        <f>SUM(L52:L58)</f>
        <v>7623.163416542419</v>
      </c>
      <c r="M59" s="2">
        <f>SUM(M52:M58)</f>
        <v>13340.535978949236</v>
      </c>
    </row>
    <row r="60" spans="2:13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7"/>
      <c r="L60" s="7"/>
      <c r="M60" s="1"/>
    </row>
    <row r="61" spans="2:13" ht="12.75">
      <c r="B61" s="1" t="s">
        <v>96</v>
      </c>
      <c r="C61" s="3" t="s">
        <v>97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51746.06540352224</v>
      </c>
      <c r="J61" s="30">
        <f>I61/C5/12</f>
        <v>1.7846178524852816</v>
      </c>
      <c r="K61" s="7">
        <f>J61*C5*1</f>
        <v>4312.172116960186</v>
      </c>
      <c r="L61" s="7">
        <f>J61*C5*4</f>
        <v>17248.688467840744</v>
      </c>
      <c r="M61" s="1">
        <f>J61*C5*7</f>
        <v>30185.2048187213</v>
      </c>
    </row>
    <row r="62" spans="2:13" ht="12.75">
      <c r="B62" s="1" t="s">
        <v>98</v>
      </c>
      <c r="C62" s="3" t="s">
        <v>99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17593.663165586575</v>
      </c>
      <c r="J62" s="30">
        <f>I62/C5/12</f>
        <v>0.606770101863268</v>
      </c>
      <c r="K62" s="7">
        <f>J62*C5*1</f>
        <v>1466.1385971322145</v>
      </c>
      <c r="L62" s="7">
        <f>J62*C5*4</f>
        <v>5864.554388528858</v>
      </c>
      <c r="M62" s="1">
        <f>J62*C5*7</f>
        <v>10262.970179925502</v>
      </c>
    </row>
    <row r="63" spans="2:13" ht="12.75">
      <c r="B63" s="1" t="s">
        <v>100</v>
      </c>
      <c r="C63" s="3" t="s">
        <v>453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12275.345182385852</v>
      </c>
      <c r="J63" s="30">
        <f>I63/C5/12</f>
        <v>0.4233519976267382</v>
      </c>
      <c r="K63" s="7">
        <f>J63*C5*1</f>
        <v>1022.9454318654875</v>
      </c>
      <c r="L63" s="7">
        <f>J63*C5*4</f>
        <v>4091.78172746195</v>
      </c>
      <c r="M63" s="1">
        <f>J63*C5*7</f>
        <v>7160.618023058412</v>
      </c>
    </row>
    <row r="64" spans="2:13" ht="25.5">
      <c r="B64" s="1" t="s">
        <v>102</v>
      </c>
      <c r="C64" s="3" t="s">
        <v>103</v>
      </c>
      <c r="D64" s="1"/>
      <c r="E64" s="1"/>
      <c r="F64" s="1"/>
      <c r="G64" s="1"/>
      <c r="H64" s="1"/>
      <c r="I64" s="1"/>
      <c r="J64" s="30"/>
      <c r="K64" s="7"/>
      <c r="L64" s="7"/>
      <c r="M64" s="1"/>
    </row>
    <row r="65" spans="2:13" ht="38.25">
      <c r="B65" s="1" t="s">
        <v>104</v>
      </c>
      <c r="C65" s="4" t="s">
        <v>350</v>
      </c>
      <c r="D65" s="1" t="s">
        <v>71</v>
      </c>
      <c r="E65" s="1"/>
      <c r="F65" s="1"/>
      <c r="G65" s="1"/>
      <c r="H65" s="1"/>
      <c r="I65" s="1"/>
      <c r="J65" s="30"/>
      <c r="K65" s="7"/>
      <c r="L65" s="7"/>
      <c r="M65" s="1"/>
    </row>
    <row r="66" spans="2:13" ht="38.25">
      <c r="B66" s="1" t="s">
        <v>105</v>
      </c>
      <c r="C66" s="3" t="s">
        <v>106</v>
      </c>
      <c r="D66" s="3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>
        <f>G66/5*C12</f>
        <v>6542.61</v>
      </c>
      <c r="J66" s="30">
        <f>I66/C5/12</f>
        <v>0.22564147663783465</v>
      </c>
      <c r="K66" s="7">
        <f>J66*C5*1</f>
        <v>545.2174999999999</v>
      </c>
      <c r="L66" s="7">
        <f>J66*C5*4</f>
        <v>2180.8699999999994</v>
      </c>
      <c r="M66" s="1">
        <f>J66*C5*7</f>
        <v>3816.522499999999</v>
      </c>
    </row>
    <row r="67" spans="2:13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>SUM(I61:I66)</f>
        <v>88157.68375149467</v>
      </c>
      <c r="J67" s="31">
        <f>SUM(J61:J66)</f>
        <v>3.0403814286131223</v>
      </c>
      <c r="K67" s="6">
        <f>SUM(K61:K66)</f>
        <v>7346.473645957888</v>
      </c>
      <c r="L67" s="6">
        <f>SUM(L61:L66)</f>
        <v>29385.894583831552</v>
      </c>
      <c r="M67" s="2">
        <f>SUM(M61:M66)</f>
        <v>51425.31552170522</v>
      </c>
    </row>
    <row r="68" spans="2:13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7"/>
      <c r="L68" s="7"/>
      <c r="M68" s="1"/>
    </row>
    <row r="69" spans="2:13" ht="51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4741.412165453713</v>
      </c>
      <c r="J69" s="30">
        <f>I69/C5/12</f>
        <v>0.16352178142386128</v>
      </c>
      <c r="K69" s="7">
        <f>J69*C5*1</f>
        <v>395.11768045447604</v>
      </c>
      <c r="L69" s="7">
        <f>J69*C5*4</f>
        <v>1580.4707218179042</v>
      </c>
      <c r="M69" s="1">
        <f>J69*C5*7</f>
        <v>2765.823763181332</v>
      </c>
    </row>
    <row r="70" spans="2:13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1612.081553269069</v>
      </c>
      <c r="J70" s="30">
        <f>I70/C5/12</f>
        <v>0.05559745455410714</v>
      </c>
      <c r="K70" s="7">
        <f>J70*C5*1</f>
        <v>134.34012943908908</v>
      </c>
      <c r="L70" s="7">
        <f>J70*C5*4</f>
        <v>537.3605177563563</v>
      </c>
      <c r="M70" s="1">
        <f>J70*C5*7</f>
        <v>940.3809060736236</v>
      </c>
    </row>
    <row r="71" spans="2:13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1363.9231706056894</v>
      </c>
      <c r="J71" s="30">
        <f>I71/C5/12</f>
        <v>0.04703897041639729</v>
      </c>
      <c r="K71" s="7">
        <f>J71*C5*1</f>
        <v>113.66026421714078</v>
      </c>
      <c r="L71" s="7">
        <f>J71*C5*4</f>
        <v>454.6410568685631</v>
      </c>
      <c r="M71" s="1">
        <f>J71*C5*7</f>
        <v>795.6218495199854</v>
      </c>
    </row>
    <row r="72" spans="2:13" ht="25.5">
      <c r="B72" s="1"/>
      <c r="C72" s="3"/>
      <c r="D72" s="3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8408.724664531082</v>
      </c>
      <c r="J72" s="30">
        <f>I72/C5/12</f>
        <v>0.29000002291834215</v>
      </c>
      <c r="K72" s="7">
        <f>J72*C5*1</f>
        <v>700.7270553775902</v>
      </c>
      <c r="L72" s="7">
        <f>J72*C5*4</f>
        <v>2802.908221510361</v>
      </c>
      <c r="M72" s="1">
        <f>J72*C5*7</f>
        <v>4905.089387643131</v>
      </c>
    </row>
    <row r="73" spans="2:13" ht="12.75">
      <c r="B73" s="1"/>
      <c r="C73" s="3"/>
      <c r="D73" s="1"/>
      <c r="E73" s="1"/>
      <c r="F73" s="1"/>
      <c r="G73" s="1"/>
      <c r="H73" s="1"/>
      <c r="I73" s="1"/>
      <c r="J73" s="30"/>
      <c r="K73" s="7"/>
      <c r="L73" s="7"/>
      <c r="M73" s="1"/>
    </row>
    <row r="74" spans="2:13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>SUM(I69:I73)</f>
        <v>16126.141553859554</v>
      </c>
      <c r="J74" s="31">
        <f>SUM(J69:J73)</f>
        <v>0.5561582293127079</v>
      </c>
      <c r="K74" s="6">
        <f>SUM(K69:K73)</f>
        <v>1343.8451294882962</v>
      </c>
      <c r="L74" s="6">
        <f>SUM(L69:L73)</f>
        <v>5375.380517953185</v>
      </c>
      <c r="M74" s="2">
        <f>SUM(M69:M73)</f>
        <v>9406.915906418071</v>
      </c>
    </row>
    <row r="75" spans="2:13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7"/>
      <c r="L75" s="7"/>
      <c r="M75" s="1"/>
    </row>
    <row r="76" spans="2:13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7"/>
      <c r="L76" s="7"/>
      <c r="M76" s="1"/>
    </row>
    <row r="77" spans="2:13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7"/>
      <c r="L77" s="7"/>
      <c r="M77" s="1"/>
    </row>
    <row r="78" spans="2:13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7"/>
      <c r="L78" s="7"/>
      <c r="M78" s="1"/>
    </row>
    <row r="79" spans="2:13" ht="12.75">
      <c r="B79" s="1"/>
      <c r="C79" s="3"/>
      <c r="D79" s="1"/>
      <c r="E79" s="1"/>
      <c r="F79" s="1"/>
      <c r="G79" s="1"/>
      <c r="H79" s="1"/>
      <c r="I79" s="1"/>
      <c r="J79" s="1"/>
      <c r="K79" s="7"/>
      <c r="L79" s="7"/>
      <c r="M79" s="1"/>
    </row>
    <row r="80" spans="2:13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296854.48998263647</v>
      </c>
      <c r="J80" s="31">
        <f>J33+J42+J43+J50+J59+J67+J74</f>
        <v>10.237915062376235</v>
      </c>
      <c r="K80" s="6">
        <f>K33+K42+K43+K50+K59+K67+K74</f>
        <v>24737.8741652197</v>
      </c>
      <c r="L80" s="6">
        <f>L33+L42+L43+L50+L59+L67+L74</f>
        <v>98411.92348264603</v>
      </c>
      <c r="M80" s="2">
        <f>M33+M42+M43+M50+M59+M67+M74</f>
        <v>173165.11915653793</v>
      </c>
    </row>
    <row r="81" spans="2:13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31076.521113378418</v>
      </c>
      <c r="J81" s="30">
        <f>I81/C5/12</f>
        <v>1.0717667892155505</v>
      </c>
      <c r="K81" s="7">
        <f>J81*C5*1</f>
        <v>2589.710092781535</v>
      </c>
      <c r="L81" s="7">
        <f>J81*C5*4</f>
        <v>10358.84037112614</v>
      </c>
      <c r="M81" s="1">
        <f>J81*C5*7</f>
        <v>18127.970649470746</v>
      </c>
    </row>
    <row r="82" spans="2:13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83199.70085226731</v>
      </c>
      <c r="J82" s="30">
        <f>I82/C5/12</f>
        <v>2.869390557611062</v>
      </c>
      <c r="K82" s="7">
        <f>J82*C5*1</f>
        <v>6933.308404355609</v>
      </c>
      <c r="L82" s="7">
        <f>J82*C5*4</f>
        <v>27733.233617422437</v>
      </c>
      <c r="M82" s="1">
        <f>J82*C5*7</f>
        <v>48533.158830489265</v>
      </c>
    </row>
    <row r="83" spans="2:13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411130.7119482822</v>
      </c>
      <c r="J83" s="31">
        <f>J80+J81+J82</f>
        <v>14.179072409202847</v>
      </c>
      <c r="K83" s="6">
        <f>SUM(K80:K82)</f>
        <v>34260.89266235684</v>
      </c>
      <c r="L83" s="6">
        <f>SUM(L80:L82)</f>
        <v>136503.9974711946</v>
      </c>
      <c r="M83" s="2">
        <f>SUM(M80:M82)</f>
        <v>239826.24863649794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20556.535210281105</v>
      </c>
      <c r="J84" s="30"/>
      <c r="K84" s="6"/>
      <c r="L84" s="6"/>
      <c r="M84" s="2"/>
      <c r="N84" s="5"/>
    </row>
    <row r="85" spans="2:14" ht="12.7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431687.2471585633</v>
      </c>
      <c r="J85" s="31">
        <f>J83+J84</f>
        <v>14.179072409202847</v>
      </c>
      <c r="K85" s="6">
        <f>K83+K84</f>
        <v>34260.89266235684</v>
      </c>
      <c r="L85" s="6">
        <f>L83+L84</f>
        <v>136503.9974711946</v>
      </c>
      <c r="M85" s="2">
        <f>M83+M84</f>
        <v>239826.24863649794</v>
      </c>
      <c r="N85" s="5"/>
    </row>
    <row r="86" spans="2:13" ht="12.75">
      <c r="B86" s="1"/>
      <c r="C86" s="3"/>
      <c r="D86" s="1"/>
      <c r="E86" s="1"/>
      <c r="F86" s="1"/>
      <c r="G86" s="1"/>
      <c r="H86" s="1"/>
      <c r="I86" s="1"/>
      <c r="J86" s="1"/>
      <c r="K86" s="7"/>
      <c r="L86" s="7"/>
      <c r="M86" s="1"/>
    </row>
    <row r="87" spans="2:13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14.78</v>
      </c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</row>
    <row r="89" spans="2:13" ht="12.75">
      <c r="B89" s="1"/>
      <c r="C89" s="1" t="s">
        <v>368</v>
      </c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 t="s">
        <v>369</v>
      </c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 t="s">
        <v>370</v>
      </c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 t="s">
        <v>371</v>
      </c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 t="s">
        <v>372</v>
      </c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 t="s">
        <v>369</v>
      </c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 t="s">
        <v>370</v>
      </c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 t="s">
        <v>371</v>
      </c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 t="s">
        <v>373</v>
      </c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</sheetData>
  <mergeCells count="15">
    <mergeCell ref="K15:K18"/>
    <mergeCell ref="B14:B18"/>
    <mergeCell ref="C14:C18"/>
    <mergeCell ref="D14:D18"/>
    <mergeCell ref="E14:E18"/>
    <mergeCell ref="L15:L18"/>
    <mergeCell ref="M15:M18"/>
    <mergeCell ref="F14:F18"/>
    <mergeCell ref="G14:H14"/>
    <mergeCell ref="I14:J14"/>
    <mergeCell ref="K14:M14"/>
    <mergeCell ref="G15:G18"/>
    <mergeCell ref="H15:H18"/>
    <mergeCell ref="I15:I18"/>
    <mergeCell ref="J15:J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4:N101"/>
  <sheetViews>
    <sheetView workbookViewId="0" topLeftCell="A4">
      <pane xSplit="1" ySplit="15" topLeftCell="B58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C65" sqref="C65"/>
    </sheetView>
  </sheetViews>
  <sheetFormatPr defaultColWidth="9.140625" defaultRowHeight="12.75"/>
  <cols>
    <col min="2" max="2" width="12.00390625" style="0" customWidth="1"/>
    <col min="3" max="3" width="30.140625" style="0" customWidth="1"/>
    <col min="4" max="4" width="18.00390625" style="0" hidden="1" customWidth="1"/>
    <col min="5" max="5" width="15.7109375" style="0" hidden="1" customWidth="1"/>
    <col min="6" max="6" width="11.421875" style="0" hidden="1" customWidth="1"/>
    <col min="7" max="7" width="12.00390625" style="0" hidden="1" customWidth="1"/>
    <col min="8" max="8" width="12.57421875" style="0" hidden="1" customWidth="1"/>
    <col min="9" max="9" width="12.421875" style="0" hidden="1" customWidth="1"/>
    <col min="10" max="10" width="12.00390625" style="0" hidden="1" customWidth="1"/>
    <col min="11" max="11" width="12.421875" style="0" hidden="1" customWidth="1"/>
    <col min="12" max="12" width="16.00390625" style="0" hidden="1" customWidth="1"/>
    <col min="13" max="13" width="15.57421875" style="0" customWidth="1"/>
    <col min="14" max="14" width="14.7109375" style="0" customWidth="1"/>
    <col min="15" max="15" width="14.28125" style="0" customWidth="1"/>
  </cols>
  <sheetData>
    <row r="4" spans="2:3" ht="12.75">
      <c r="B4" t="s">
        <v>487</v>
      </c>
      <c r="C4" s="5" t="s">
        <v>544</v>
      </c>
    </row>
    <row r="5" spans="2:3" ht="12.75">
      <c r="B5" t="s">
        <v>488</v>
      </c>
      <c r="C5">
        <v>2333</v>
      </c>
    </row>
    <row r="6" spans="2:3" ht="12.75">
      <c r="B6" t="s">
        <v>489</v>
      </c>
      <c r="C6">
        <v>874</v>
      </c>
    </row>
    <row r="7" spans="1:3" ht="12.75">
      <c r="A7" s="5"/>
      <c r="B7" s="5" t="s">
        <v>490</v>
      </c>
      <c r="C7" s="5">
        <v>534</v>
      </c>
    </row>
    <row r="8" spans="2:3" ht="12.75">
      <c r="B8" t="s">
        <v>491</v>
      </c>
      <c r="C8">
        <v>258.1</v>
      </c>
    </row>
    <row r="9" spans="2:3" ht="12.75">
      <c r="B9" t="s">
        <v>492</v>
      </c>
      <c r="C9">
        <v>3</v>
      </c>
    </row>
    <row r="10" spans="2:3" ht="12.75">
      <c r="B10" t="s">
        <v>493</v>
      </c>
      <c r="C10">
        <v>65</v>
      </c>
    </row>
    <row r="11" spans="2:3" ht="12.75">
      <c r="B11" t="s">
        <v>494</v>
      </c>
      <c r="C11">
        <v>5</v>
      </c>
    </row>
    <row r="12" spans="2:3" ht="12.75">
      <c r="B12" t="s">
        <v>547</v>
      </c>
      <c r="C12">
        <v>1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38.2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38.2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24963.432382027255</v>
      </c>
      <c r="J27" s="30">
        <f>I27/C5/12</f>
        <v>0.8916785391494234</v>
      </c>
      <c r="K27" s="42">
        <f>J27*C5*3</f>
        <v>6240.858095506814</v>
      </c>
      <c r="L27" s="44">
        <f>J27*C5*6</f>
        <v>12481.716191013627</v>
      </c>
      <c r="M27" s="1">
        <f>J27*C5*9</f>
        <v>18722.57428652044</v>
      </c>
      <c r="N27" s="1">
        <f>J27*C5*12</f>
        <v>24963.432382027255</v>
      </c>
    </row>
    <row r="28" spans="2:14" ht="38.2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8487.566341341573</v>
      </c>
      <c r="J28" s="30">
        <f>I28/C5/12</f>
        <v>0.30317067943068915</v>
      </c>
      <c r="K28" s="42">
        <f>J28*C5*3</f>
        <v>2121.8915853353933</v>
      </c>
      <c r="L28" s="44">
        <f>J28*C5*6</f>
        <v>4243.783170670787</v>
      </c>
      <c r="M28" s="1">
        <f>J28*C5*9</f>
        <v>6365.67475600618</v>
      </c>
      <c r="N28" s="1">
        <f>J28*C5*12</f>
        <v>8487.566341341573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1696.7191291155166</v>
      </c>
      <c r="J29" s="30">
        <f>I29/C5/12</f>
        <v>0.06060576972122863</v>
      </c>
      <c r="K29" s="42">
        <f>J29*C5*3</f>
        <v>424.1797822788792</v>
      </c>
      <c r="L29" s="44">
        <f>J29*C5*6</f>
        <v>848.3595645577584</v>
      </c>
      <c r="M29" s="1">
        <f>J29*C5*9</f>
        <v>1272.5393468366376</v>
      </c>
      <c r="N29" s="1">
        <f>J29*C5*12</f>
        <v>1696.7191291155168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44"/>
      <c r="M30" s="1"/>
      <c r="N30" s="1"/>
    </row>
    <row r="31" spans="2:14" ht="25.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44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44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35147.71785248435</v>
      </c>
      <c r="J33" s="31">
        <f t="shared" si="0"/>
        <v>1.255454988301341</v>
      </c>
      <c r="K33" s="43">
        <f t="shared" si="0"/>
        <v>8786.929463121087</v>
      </c>
      <c r="L33" s="6">
        <f t="shared" si="0"/>
        <v>17573.858926242174</v>
      </c>
      <c r="M33" s="2">
        <f t="shared" si="0"/>
        <v>26360.78838936326</v>
      </c>
      <c r="N33" s="2">
        <f t="shared" si="0"/>
        <v>35147.71785248435</v>
      </c>
    </row>
    <row r="34" spans="2:14" ht="51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25.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10325.295607595162</v>
      </c>
      <c r="J35" s="30">
        <f>I35/C5/12</f>
        <v>0.3688132450205444</v>
      </c>
      <c r="K35" s="42">
        <f>J35*C5*3</f>
        <v>2581.3239018987906</v>
      </c>
      <c r="L35" s="7">
        <f>J35*C5*6</f>
        <v>5162.647803797581</v>
      </c>
      <c r="M35" s="1">
        <f>J35*C5*9</f>
        <v>7743.971705696372</v>
      </c>
      <c r="N35" s="1">
        <f>J35*C5*12</f>
        <v>10325.295607595162</v>
      </c>
    </row>
    <row r="36" spans="2:14" ht="12.75">
      <c r="B36" s="1" t="s">
        <v>63</v>
      </c>
      <c r="C36" s="3" t="s">
        <v>64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3510.600901804374</v>
      </c>
      <c r="J36" s="30">
        <f>I36/C5/12</f>
        <v>0.12539651742407396</v>
      </c>
      <c r="K36" s="42">
        <f>J36*C5*3</f>
        <v>877.6502254510935</v>
      </c>
      <c r="L36" s="7">
        <f>J36*C5*6</f>
        <v>1755.300450902187</v>
      </c>
      <c r="M36" s="1">
        <f>J36*C5*9</f>
        <v>2632.950676353281</v>
      </c>
      <c r="N36" s="1">
        <f>J36*C5*12</f>
        <v>3510.600901804374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1463.029276744726</v>
      </c>
      <c r="J37" s="30">
        <f>I37/C5/12</f>
        <v>0.05225851109961158</v>
      </c>
      <c r="K37" s="42">
        <f>J37*C5*3</f>
        <v>365.75731918618146</v>
      </c>
      <c r="L37" s="7">
        <f>J37*C5*6</f>
        <v>731.5146383723629</v>
      </c>
      <c r="M37" s="1">
        <f>J37*C5*9</f>
        <v>1097.2719575585445</v>
      </c>
      <c r="N37" s="1">
        <f>J37*C5*12</f>
        <v>1463.0292767447258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698.9806803595989</v>
      </c>
      <c r="J38" s="30">
        <f>I38/C5/12</f>
        <v>0.024967162464623476</v>
      </c>
      <c r="K38" s="42">
        <f>J38*C5*3</f>
        <v>174.74517008989972</v>
      </c>
      <c r="L38" s="7">
        <f>J38*C5*6</f>
        <v>349.49034017979943</v>
      </c>
      <c r="M38" s="1">
        <f>J38*C5*9</f>
        <v>524.2355102696991</v>
      </c>
      <c r="N38" s="1">
        <f>J38*C5*12</f>
        <v>698.9806803595989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502.39467083834415</v>
      </c>
      <c r="J41" s="30">
        <f>I41/C5/12</f>
        <v>0.017945230420000863</v>
      </c>
      <c r="K41" s="42">
        <f>J41*C5*3</f>
        <v>125.59866770958605</v>
      </c>
      <c r="L41" s="7">
        <f>J41*C5*6</f>
        <v>251.1973354191721</v>
      </c>
      <c r="M41" s="1">
        <f>J41*C5*9</f>
        <v>376.7960031287582</v>
      </c>
      <c r="N41" s="1">
        <f>J41*C5*12</f>
        <v>502.3946708383442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16500.301137342205</v>
      </c>
      <c r="J42" s="31">
        <f t="shared" si="1"/>
        <v>0.5893806664288542</v>
      </c>
      <c r="K42" s="43">
        <f t="shared" si="1"/>
        <v>4125.075284335551</v>
      </c>
      <c r="L42" s="6">
        <f t="shared" si="1"/>
        <v>8250.150568671103</v>
      </c>
      <c r="M42" s="2">
        <f t="shared" si="1"/>
        <v>12375.225853006654</v>
      </c>
      <c r="N42" s="2">
        <f t="shared" si="1"/>
        <v>16500.301137342205</v>
      </c>
    </row>
    <row r="43" spans="2:14" ht="25.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83708.0391319233</v>
      </c>
      <c r="J43" s="31">
        <f>I43/C5/12</f>
        <v>2.9899999689928314</v>
      </c>
      <c r="K43" s="43">
        <f>J43*C5*3</f>
        <v>20927.00978298083</v>
      </c>
      <c r="L43" s="6">
        <f>J43*C5*6</f>
        <v>41854.01956596166</v>
      </c>
      <c r="M43" s="2">
        <f>J43*C5*9</f>
        <v>62781.02934894248</v>
      </c>
      <c r="N43" s="50">
        <f>J43*C5*12</f>
        <v>83708.03913192332</v>
      </c>
    </row>
    <row r="44" spans="2:14" ht="38.2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89.25">
      <c r="B45" s="1" t="s">
        <v>76</v>
      </c>
      <c r="C45" s="3" t="s">
        <v>472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9193.63753826268</v>
      </c>
      <c r="J45" s="30">
        <f>I45/C5/12</f>
        <v>0.3283911108109258</v>
      </c>
      <c r="K45" s="42">
        <f>J45*C5*3</f>
        <v>2298.40938456567</v>
      </c>
      <c r="L45" s="7">
        <f>J45*C5*6</f>
        <v>4596.81876913134</v>
      </c>
      <c r="M45" s="1">
        <f>J45*C5*9</f>
        <v>6895.2281536970095</v>
      </c>
      <c r="N45" s="1">
        <f>J45*C5*12</f>
        <v>9193.63753826268</v>
      </c>
    </row>
    <row r="46" spans="2:14" ht="76.5">
      <c r="B46" s="1" t="s">
        <v>78</v>
      </c>
      <c r="C46" s="3" t="s">
        <v>425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3125.8309601053</v>
      </c>
      <c r="J46" s="30">
        <f>I46/C5/12</f>
        <v>0.11165277039953209</v>
      </c>
      <c r="K46" s="42">
        <f>J46*C5*3</f>
        <v>781.457740026325</v>
      </c>
      <c r="L46" s="7">
        <f>J46*C5*6</f>
        <v>1562.91548005265</v>
      </c>
      <c r="M46" s="1">
        <f>J46*C5*9</f>
        <v>2344.373220078975</v>
      </c>
      <c r="N46" s="1">
        <f>J46*C5*12</f>
        <v>3125.8309601053</v>
      </c>
    </row>
    <row r="47" spans="2:14" ht="102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1836.8267027536187</v>
      </c>
      <c r="J47" s="30">
        <f>I47/C5/12</f>
        <v>0.06561032657356831</v>
      </c>
      <c r="K47" s="42">
        <f>J47*C5*3</f>
        <v>459.20667568840463</v>
      </c>
      <c r="L47" s="7">
        <f>J47*C5*6</f>
        <v>918.4133513768093</v>
      </c>
      <c r="M47" s="1">
        <f>J47*C5*9</f>
        <v>1377.620027065214</v>
      </c>
      <c r="N47" s="1">
        <f>J47*C5*12</f>
        <v>1836.8267027536185</v>
      </c>
    </row>
    <row r="48" spans="2:14" ht="25.5">
      <c r="B48" s="1"/>
      <c r="C48" s="4" t="s">
        <v>202</v>
      </c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25.5">
      <c r="B49" s="1"/>
      <c r="C49" s="4" t="s">
        <v>241</v>
      </c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14156.295201121598</v>
      </c>
      <c r="J50" s="31">
        <f t="shared" si="2"/>
        <v>0.5056542077840263</v>
      </c>
      <c r="K50" s="43">
        <f t="shared" si="2"/>
        <v>3539.0738002803996</v>
      </c>
      <c r="L50" s="6">
        <f t="shared" si="2"/>
        <v>7078.147600560799</v>
      </c>
      <c r="M50" s="2">
        <f t="shared" si="2"/>
        <v>10617.221400841197</v>
      </c>
      <c r="N50" s="2">
        <f t="shared" si="2"/>
        <v>14156.295201121598</v>
      </c>
    </row>
    <row r="51" spans="2:14" ht="51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38.2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10995.356671755213</v>
      </c>
      <c r="J52" s="30">
        <f>I52/C5/12</f>
        <v>0.3927474164793261</v>
      </c>
      <c r="K52" s="42">
        <f>J52*C5*3</f>
        <v>2748.8391679388033</v>
      </c>
      <c r="L52" s="7">
        <f>J52*C5*6</f>
        <v>5497.6783358776065</v>
      </c>
      <c r="M52" s="1">
        <f>J52*C5*9</f>
        <v>8246.51750381641</v>
      </c>
      <c r="N52" s="1">
        <f>J52*C5*12</f>
        <v>10995.356671755213</v>
      </c>
    </row>
    <row r="53" spans="2:14" ht="25.5">
      <c r="B53" s="1" t="s">
        <v>84</v>
      </c>
      <c r="C53" s="3" t="s">
        <v>427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3738.4218345337486</v>
      </c>
      <c r="J53" s="30">
        <f>I53/C5/12</f>
        <v>0.13353414182503745</v>
      </c>
      <c r="K53" s="42">
        <f>J53*C5*3</f>
        <v>934.6054586334371</v>
      </c>
      <c r="L53" s="7">
        <f>J53*C5*6</f>
        <v>1869.2109172668743</v>
      </c>
      <c r="M53" s="1">
        <f>J53*C5*9</f>
        <v>2803.8163759003114</v>
      </c>
      <c r="N53" s="1">
        <f>J53*C5*12</f>
        <v>3738.4218345337486</v>
      </c>
    </row>
    <row r="54" spans="2:14" ht="63.75">
      <c r="B54" s="1" t="s">
        <v>86</v>
      </c>
      <c r="C54" s="3" t="s">
        <v>87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7347.304452110405</v>
      </c>
      <c r="J54" s="30">
        <f>I54/C5/12</f>
        <v>0.2624412220356624</v>
      </c>
      <c r="K54" s="42">
        <f>J54*C5*3</f>
        <v>1836.8261130276012</v>
      </c>
      <c r="L54" s="7">
        <f>J54*C5*6</f>
        <v>3673.6522260552024</v>
      </c>
      <c r="M54" s="1">
        <f>J54*C5*9</f>
        <v>5510.478339082803</v>
      </c>
      <c r="N54" s="1">
        <f>J54*C5*12</f>
        <v>7347.304452110405</v>
      </c>
    </row>
    <row r="55" spans="2:14" ht="51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51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76.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3"/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22081.082958399365</v>
      </c>
      <c r="J59" s="31">
        <f t="shared" si="3"/>
        <v>0.7887227803400259</v>
      </c>
      <c r="K59" s="43">
        <f t="shared" si="3"/>
        <v>5520.270739599841</v>
      </c>
      <c r="L59" s="6">
        <f t="shared" si="3"/>
        <v>11040.541479199683</v>
      </c>
      <c r="M59" s="2">
        <f t="shared" si="3"/>
        <v>16560.812218799525</v>
      </c>
      <c r="N59" s="2">
        <f t="shared" si="3"/>
        <v>22081.082958399365</v>
      </c>
    </row>
    <row r="60" spans="2:14" ht="51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25.5">
      <c r="B61" s="1" t="s">
        <v>96</v>
      </c>
      <c r="C61" s="3" t="s">
        <v>97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49962.161398177945</v>
      </c>
      <c r="J61" s="30">
        <f>I61/C5/12</f>
        <v>1.7846178524852816</v>
      </c>
      <c r="K61" s="42">
        <f>J61*C5*3</f>
        <v>12490.540349544486</v>
      </c>
      <c r="L61" s="7">
        <f>J61*C5*6</f>
        <v>24981.080699088972</v>
      </c>
      <c r="M61" s="1">
        <f>J61*C5*9</f>
        <v>37471.62104863346</v>
      </c>
      <c r="N61" s="1">
        <f>J61*C5*12</f>
        <v>49962.161398177945</v>
      </c>
    </row>
    <row r="62" spans="2:14" ht="12.75">
      <c r="B62" s="1" t="s">
        <v>98</v>
      </c>
      <c r="C62" s="3" t="s">
        <v>99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16987.13577176405</v>
      </c>
      <c r="J62" s="30">
        <f>I62/C5/12</f>
        <v>0.606770101863268</v>
      </c>
      <c r="K62" s="42">
        <f>J62*C5*3</f>
        <v>4246.783942941012</v>
      </c>
      <c r="L62" s="7">
        <f>J62*C5*6</f>
        <v>8493.567885882025</v>
      </c>
      <c r="M62" s="1">
        <f>J62*C5*9</f>
        <v>12740.351828823037</v>
      </c>
      <c r="N62" s="1">
        <f>J62*C5*12</f>
        <v>16987.13577176405</v>
      </c>
    </row>
    <row r="63" spans="2:14" ht="25.5">
      <c r="B63" s="1" t="s">
        <v>100</v>
      </c>
      <c r="C63" s="3" t="s">
        <v>451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11852.162525558164</v>
      </c>
      <c r="J63" s="30">
        <f>I63/C5/12</f>
        <v>0.4233519976267382</v>
      </c>
      <c r="K63" s="42">
        <f>J63*C5*3</f>
        <v>2963.0406313895405</v>
      </c>
      <c r="L63" s="7">
        <f>J63*C5*6</f>
        <v>5926.081262779081</v>
      </c>
      <c r="M63" s="1">
        <f>J63*C5*9</f>
        <v>8889.121894168622</v>
      </c>
      <c r="N63" s="1">
        <f>J63*C5*12</f>
        <v>11852.162525558162</v>
      </c>
    </row>
    <row r="64" spans="2:14" ht="25.5">
      <c r="B64" s="1" t="s">
        <v>102</v>
      </c>
      <c r="C64" s="3" t="s">
        <v>103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63.75">
      <c r="B65" s="1" t="s">
        <v>104</v>
      </c>
      <c r="C65" s="4" t="s">
        <v>417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63.75">
      <c r="B66" s="1" t="s">
        <v>105</v>
      </c>
      <c r="C66" s="3" t="s">
        <v>106</v>
      </c>
      <c r="D66" s="3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>
        <f>G66/5*C12</f>
        <v>6542.61</v>
      </c>
      <c r="J66" s="30">
        <f>I66/C5/12</f>
        <v>0.2336980282897557</v>
      </c>
      <c r="K66" s="42">
        <f>J66*C5*3</f>
        <v>1635.6525000000001</v>
      </c>
      <c r="L66" s="7">
        <f>J66*C5*6</f>
        <v>3271.3050000000003</v>
      </c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85344.06969550016</v>
      </c>
      <c r="J67" s="31">
        <f t="shared" si="4"/>
        <v>3.0484379802650436</v>
      </c>
      <c r="K67" s="43">
        <f t="shared" si="4"/>
        <v>21336.01742387504</v>
      </c>
      <c r="L67" s="6">
        <f t="shared" si="4"/>
        <v>42672.03484775008</v>
      </c>
      <c r="M67" s="2">
        <f t="shared" si="4"/>
        <v>59101.094771625125</v>
      </c>
      <c r="N67" s="2">
        <f t="shared" si="4"/>
        <v>78801.45969550016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89.25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4577.955792742421</v>
      </c>
      <c r="J69" s="30">
        <f>I69/C5/12</f>
        <v>0.1635217814238613</v>
      </c>
      <c r="K69" s="42">
        <f>J69*C5*3</f>
        <v>1144.4889481856053</v>
      </c>
      <c r="L69" s="7">
        <f>J69*C5*6</f>
        <v>2288.9778963712106</v>
      </c>
      <c r="M69" s="1">
        <f>J69*C5*9</f>
        <v>3433.466844556816</v>
      </c>
      <c r="N69" s="1">
        <f>J69*C5*12</f>
        <v>4577.955792742421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1556.5063376967835</v>
      </c>
      <c r="J70" s="30">
        <f>I70/C5/12</f>
        <v>0.05559745455410714</v>
      </c>
      <c r="K70" s="42">
        <f>J70*C5*3</f>
        <v>389.1265844241958</v>
      </c>
      <c r="L70" s="7">
        <f>J70*C5*6</f>
        <v>778.2531688483916</v>
      </c>
      <c r="M70" s="1">
        <f>J70*C5*9</f>
        <v>1167.3797532725875</v>
      </c>
      <c r="N70" s="1">
        <f>J70*C5*12</f>
        <v>1556.5063376967832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1316.9030157774584</v>
      </c>
      <c r="J71" s="30">
        <f>I71/C5/12</f>
        <v>0.04703897041639729</v>
      </c>
      <c r="K71" s="42">
        <f>J71*C5*3</f>
        <v>329.2257539443646</v>
      </c>
      <c r="L71" s="7">
        <f>J71*C5*6</f>
        <v>658.4515078887292</v>
      </c>
      <c r="M71" s="1">
        <f>J71*C5*9</f>
        <v>987.6772618330939</v>
      </c>
      <c r="N71" s="1">
        <f>J71*C5*12</f>
        <v>1316.9030157774584</v>
      </c>
    </row>
    <row r="72" spans="2:14" ht="25.5">
      <c r="B72" s="1"/>
      <c r="C72" s="3"/>
      <c r="D72" s="3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8118.840641621907</v>
      </c>
      <c r="J72" s="30">
        <f>I72/C5/12</f>
        <v>0.29000002291834215</v>
      </c>
      <c r="K72" s="42">
        <f>J72*C5*3</f>
        <v>2029.7101604054767</v>
      </c>
      <c r="L72" s="7">
        <f>J72*C5*6</f>
        <v>4059.4203208109534</v>
      </c>
      <c r="M72" s="1">
        <f>J72*C5*9</f>
        <v>6089.13048121643</v>
      </c>
      <c r="N72" s="1">
        <f>J72*C5*12</f>
        <v>8118.840641621907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15570.205787838571</v>
      </c>
      <c r="J74" s="31">
        <f t="shared" si="5"/>
        <v>0.5561582293127079</v>
      </c>
      <c r="K74" s="43">
        <f t="shared" si="5"/>
        <v>3892.5514469596424</v>
      </c>
      <c r="L74" s="6">
        <f t="shared" si="5"/>
        <v>7785.102893919285</v>
      </c>
      <c r="M74" s="2">
        <f t="shared" si="5"/>
        <v>11677.654340878928</v>
      </c>
      <c r="N74" s="2">
        <f t="shared" si="5"/>
        <v>15570.20578783857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272507.71176460956</v>
      </c>
      <c r="J80" s="31">
        <f>J33+J42+J43+J50+J59+J67+J74</f>
        <v>9.73380882142483</v>
      </c>
      <c r="K80" s="43">
        <f>J80*C5*3</f>
        <v>68126.92794115239</v>
      </c>
      <c r="L80" s="6">
        <f>L33+L42+L43+L50+L59+L67+L74</f>
        <v>136253.85588230478</v>
      </c>
      <c r="M80" s="2">
        <f>M33+M42+M43+M50+M59+M67+M74</f>
        <v>199473.82632345715</v>
      </c>
      <c r="N80" s="2">
        <f>N33+N42+N43+N50+N59+N67+N74</f>
        <v>265965.1017646096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28527.75330670145</v>
      </c>
      <c r="J81" s="30">
        <f>I81/C5/12</f>
        <v>1.0189939029397574</v>
      </c>
      <c r="K81" s="42">
        <f>J81*C5*3</f>
        <v>7131.938326675363</v>
      </c>
      <c r="L81" s="7">
        <f>J81*C5*6</f>
        <v>14263.876653350726</v>
      </c>
      <c r="M81" s="1">
        <f>J81*C5*9</f>
        <v>21395.814980026087</v>
      </c>
      <c r="N81" s="1">
        <f>J81*C5*12</f>
        <v>28527.753306701452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76376.00529497654</v>
      </c>
      <c r="J82" s="30">
        <f>I82/C5/12</f>
        <v>2.7281042039925896</v>
      </c>
      <c r="K82" s="42">
        <f>J82*C5*3</f>
        <v>19094.001323744134</v>
      </c>
      <c r="L82" s="7">
        <f>J82*C5*6</f>
        <v>38188.00264748827</v>
      </c>
      <c r="M82" s="1">
        <f>J82*C5*9</f>
        <v>57282.00397123241</v>
      </c>
      <c r="N82" s="1">
        <f>J82*C5*12</f>
        <v>76376.00529497654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377411.4703662875</v>
      </c>
      <c r="J83" s="31">
        <f>J80+J81+J82</f>
        <v>13.480906928357177</v>
      </c>
      <c r="K83" s="43">
        <f>J83*C5*3</f>
        <v>94352.86759157188</v>
      </c>
      <c r="L83" s="6">
        <f>SUM(L80:L82)</f>
        <v>188705.73518314376</v>
      </c>
      <c r="M83" s="2">
        <f>SUM(M80:M82)</f>
        <v>278151.6452747156</v>
      </c>
      <c r="N83" s="2">
        <f>SUM(N80:N82)</f>
        <v>370868.8603662875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18870.573162932422</v>
      </c>
      <c r="J84" s="30"/>
      <c r="K84" s="42"/>
      <c r="L84" s="7"/>
      <c r="M84" s="1"/>
      <c r="N84" s="1"/>
    </row>
    <row r="85" spans="2:14" ht="25.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396282.0435292199</v>
      </c>
      <c r="J85" s="31">
        <f>J83+J84</f>
        <v>13.480906928357177</v>
      </c>
      <c r="K85" s="43">
        <f>J85*C5*3</f>
        <v>94352.86759157188</v>
      </c>
      <c r="L85" s="6">
        <f>L83+L84</f>
        <v>188705.73518314376</v>
      </c>
      <c r="M85" s="2">
        <f>M83+M84</f>
        <v>278151.6452747156</v>
      </c>
      <c r="N85" s="2">
        <f>N83+N84</f>
        <v>370868.8603662875</v>
      </c>
    </row>
    <row r="86" spans="2:14" ht="12.7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11.69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3.5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4">
      <pane xSplit="1" ySplit="15" topLeftCell="B63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C65" sqref="C65"/>
    </sheetView>
  </sheetViews>
  <sheetFormatPr defaultColWidth="9.140625" defaultRowHeight="12.75"/>
  <cols>
    <col min="2" max="2" width="11.140625" style="0" customWidth="1"/>
    <col min="3" max="3" width="28.7109375" style="0" customWidth="1"/>
    <col min="4" max="4" width="12.28125" style="0" customWidth="1"/>
    <col min="5" max="5" width="14.7109375" style="0" hidden="1" customWidth="1"/>
    <col min="6" max="6" width="12.8515625" style="0" hidden="1" customWidth="1"/>
    <col min="7" max="7" width="13.00390625" style="0" hidden="1" customWidth="1"/>
    <col min="8" max="8" width="13.8515625" style="0" hidden="1" customWidth="1"/>
    <col min="9" max="9" width="13.421875" style="0" hidden="1" customWidth="1"/>
    <col min="10" max="10" width="12.140625" style="0" hidden="1" customWidth="1"/>
    <col min="11" max="11" width="13.00390625" style="0" hidden="1" customWidth="1"/>
    <col min="12" max="12" width="13.57421875" style="0" customWidth="1"/>
    <col min="13" max="13" width="13.7109375" style="0" customWidth="1"/>
    <col min="14" max="14" width="11.00390625" style="0" customWidth="1"/>
    <col min="15" max="15" width="12.140625" style="0" customWidth="1"/>
  </cols>
  <sheetData>
    <row r="4" spans="2:3" ht="12.75">
      <c r="B4" t="s">
        <v>487</v>
      </c>
      <c r="C4" s="5" t="s">
        <v>545</v>
      </c>
    </row>
    <row r="5" spans="2:3" ht="12.75">
      <c r="B5" t="s">
        <v>488</v>
      </c>
      <c r="C5">
        <v>2807.5</v>
      </c>
    </row>
    <row r="6" spans="2:3" ht="12.75">
      <c r="B6" t="s">
        <v>489</v>
      </c>
      <c r="C6">
        <v>835</v>
      </c>
    </row>
    <row r="7" spans="2:3" ht="12.75">
      <c r="B7" t="s">
        <v>490</v>
      </c>
      <c r="C7" s="5">
        <v>388</v>
      </c>
    </row>
    <row r="8" spans="2:3" ht="12.75">
      <c r="B8" t="s">
        <v>491</v>
      </c>
      <c r="C8">
        <v>308.8</v>
      </c>
    </row>
    <row r="9" spans="2:3" ht="12.75">
      <c r="B9" t="s">
        <v>492</v>
      </c>
      <c r="C9">
        <v>3</v>
      </c>
    </row>
    <row r="10" spans="2:3" ht="12.75">
      <c r="B10" t="s">
        <v>493</v>
      </c>
      <c r="C10">
        <v>50</v>
      </c>
    </row>
    <row r="11" spans="2:3" ht="12.75">
      <c r="B11" t="s">
        <v>494</v>
      </c>
      <c r="C11">
        <v>5</v>
      </c>
    </row>
    <row r="12" spans="2:3" ht="12.75">
      <c r="B12" t="s">
        <v>547</v>
      </c>
      <c r="C12">
        <v>1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25.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38.2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38.2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29867.136457070963</v>
      </c>
      <c r="J27" s="30">
        <f>I27/C5/12</f>
        <v>0.8865282415277816</v>
      </c>
      <c r="K27" s="42">
        <f>J27*C5*3</f>
        <v>7466.784114267741</v>
      </c>
      <c r="L27" s="44">
        <f>J27*C5*6</f>
        <v>14933.568228535481</v>
      </c>
      <c r="M27" s="1">
        <f>J27*C5*9</f>
        <v>22400.35234280322</v>
      </c>
      <c r="N27" s="1">
        <f>J27*C5*12</f>
        <v>29867.136457070963</v>
      </c>
    </row>
    <row r="28" spans="2:14" ht="38.2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10154.82559552994</v>
      </c>
      <c r="J28" s="30">
        <f>I28/C5/12</f>
        <v>0.30141957837726147</v>
      </c>
      <c r="K28" s="42">
        <f>J28*C5*3</f>
        <v>2538.706398882485</v>
      </c>
      <c r="L28" s="44">
        <f>J28*C5*6</f>
        <v>5077.41279776497</v>
      </c>
      <c r="M28" s="1">
        <f>J28*C5*9</f>
        <v>7616.119196647454</v>
      </c>
      <c r="N28" s="1">
        <f>J28*C5*12</f>
        <v>10154.82559552994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2030.0149828394867</v>
      </c>
      <c r="J29" s="30">
        <f>I29/C5/12</f>
        <v>0.06025571335231483</v>
      </c>
      <c r="K29" s="42">
        <f>J29*C5*3</f>
        <v>507.5037457098716</v>
      </c>
      <c r="L29" s="44">
        <f>J29*C5*6</f>
        <v>1015.0074914197432</v>
      </c>
      <c r="M29" s="1">
        <f>J29*C5*9</f>
        <v>1522.511237129615</v>
      </c>
      <c r="N29" s="1">
        <f>J29*C5*12</f>
        <v>2030.0149828394865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44"/>
      <c r="M30" s="1"/>
      <c r="N30" s="1"/>
    </row>
    <row r="31" spans="2:14" ht="38.2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44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44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42051.97703544039</v>
      </c>
      <c r="J33" s="31">
        <f t="shared" si="0"/>
        <v>1.248203533257358</v>
      </c>
      <c r="K33" s="43">
        <f t="shared" si="0"/>
        <v>10512.994258860097</v>
      </c>
      <c r="L33" s="6">
        <f t="shared" si="0"/>
        <v>21025.988517720194</v>
      </c>
      <c r="M33" s="2">
        <f t="shared" si="0"/>
        <v>31538.98277658029</v>
      </c>
      <c r="N33" s="2">
        <f t="shared" si="0"/>
        <v>42051.97703544039</v>
      </c>
    </row>
    <row r="34" spans="2:14" ht="51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25.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8968.6338977904</v>
      </c>
      <c r="J35" s="30">
        <f>I35/C5/12</f>
        <v>0.26621056389998216</v>
      </c>
      <c r="K35" s="42">
        <f>J35*C5*3</f>
        <v>2242.1584744475995</v>
      </c>
      <c r="L35" s="7">
        <f>J35*C5*6</f>
        <v>4484.316948895199</v>
      </c>
      <c r="M35" s="1">
        <f>J35*C5*9</f>
        <v>6726.475423342799</v>
      </c>
      <c r="N35" s="1">
        <f>J35*C5*12</f>
        <v>8968.633897790398</v>
      </c>
    </row>
    <row r="36" spans="2:14" ht="12.75">
      <c r="B36" s="1" t="s">
        <v>63</v>
      </c>
      <c r="C36" s="3" t="s">
        <v>64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3049.3358685417256</v>
      </c>
      <c r="J36" s="30">
        <f>I36/C5/12</f>
        <v>0.0905116019157532</v>
      </c>
      <c r="K36" s="42">
        <f>J36*C5*3</f>
        <v>762.3339671354314</v>
      </c>
      <c r="L36" s="7">
        <f>J36*C5*6</f>
        <v>1524.6679342708628</v>
      </c>
      <c r="M36" s="1">
        <f>J36*C5*9</f>
        <v>2287.001901406294</v>
      </c>
      <c r="N36" s="1">
        <f>J36*C5*12</f>
        <v>3049.3358685417256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1270.7988675133522</v>
      </c>
      <c r="J37" s="30">
        <f>I37/C5/12</f>
        <v>0.037720358192738265</v>
      </c>
      <c r="K37" s="42">
        <f>J37*C5*3</f>
        <v>317.69971687833805</v>
      </c>
      <c r="L37" s="7">
        <f>J37*C5*6</f>
        <v>635.3994337566761</v>
      </c>
      <c r="M37" s="1">
        <f>J37*C5*9</f>
        <v>953.0991506350142</v>
      </c>
      <c r="N37" s="1">
        <f>J37*C5*12</f>
        <v>1270.7988675133522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607.1401790339414</v>
      </c>
      <c r="J38" s="30">
        <f>I38/C5/12</f>
        <v>0.01802137664095997</v>
      </c>
      <c r="K38" s="42">
        <f>J38*C5*3</f>
        <v>151.78504475848536</v>
      </c>
      <c r="L38" s="7">
        <f>J38*C5*6</f>
        <v>303.5700895169707</v>
      </c>
      <c r="M38" s="1">
        <f>J38*C5*9</f>
        <v>455.35513427545607</v>
      </c>
      <c r="N38" s="1">
        <f>J38*C5*12</f>
        <v>607.1401790339414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604.5748128498291</v>
      </c>
      <c r="J41" s="30">
        <f>I41/C5/12</f>
        <v>0.017945230420000863</v>
      </c>
      <c r="K41" s="42">
        <f>J41*C5*3</f>
        <v>151.14370321245727</v>
      </c>
      <c r="L41" s="7">
        <f>J41*C5*6</f>
        <v>302.28740642491454</v>
      </c>
      <c r="M41" s="1">
        <f>J41*C5*9</f>
        <v>453.43110963737183</v>
      </c>
      <c r="N41" s="1">
        <f>J41*C5*12</f>
        <v>604.5748128498291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14500.48362572925</v>
      </c>
      <c r="J42" s="31">
        <f t="shared" si="1"/>
        <v>0.43040913106943446</v>
      </c>
      <c r="K42" s="43">
        <f t="shared" si="1"/>
        <v>3625.1209064323116</v>
      </c>
      <c r="L42" s="6">
        <f t="shared" si="1"/>
        <v>7250.241812864623</v>
      </c>
      <c r="M42" s="2">
        <f t="shared" si="1"/>
        <v>10875.362719296936</v>
      </c>
      <c r="N42" s="2">
        <f t="shared" si="1"/>
        <v>14500.483625729246</v>
      </c>
    </row>
    <row r="43" spans="2:14" ht="25.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100733.09895536848</v>
      </c>
      <c r="J43" s="31">
        <f>I43/C5/12</f>
        <v>2.9899999689928314</v>
      </c>
      <c r="K43" s="43">
        <f>J43*C5*3</f>
        <v>25183.27473884212</v>
      </c>
      <c r="L43" s="6">
        <f>J43*C5*6</f>
        <v>50366.54947768424</v>
      </c>
      <c r="M43" s="2">
        <f>J43*C5*9</f>
        <v>75549.82421652637</v>
      </c>
      <c r="N43" s="50">
        <f>J43*C5*12</f>
        <v>100733.09895536848</v>
      </c>
    </row>
    <row r="44" spans="2:14" ht="51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63.75">
      <c r="B45" s="1" t="s">
        <v>76</v>
      </c>
      <c r="C45" s="3" t="s">
        <v>77</v>
      </c>
      <c r="D45" s="3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11063.49652322009</v>
      </c>
      <c r="J45" s="30">
        <f>I45/C5/12</f>
        <v>0.3283911108109258</v>
      </c>
      <c r="K45" s="42">
        <f>J45*C5*3</f>
        <v>2765.874130805023</v>
      </c>
      <c r="L45" s="7">
        <f>J45*C5*6</f>
        <v>5531.748261610046</v>
      </c>
      <c r="M45" s="1">
        <f>J45*C5*9</f>
        <v>8297.622392415069</v>
      </c>
      <c r="N45" s="1">
        <f>J45*C5*12</f>
        <v>11063.496523220092</v>
      </c>
    </row>
    <row r="46" spans="2:14" ht="76.5">
      <c r="B46" s="1" t="s">
        <v>78</v>
      </c>
      <c r="C46" s="3" t="s">
        <v>462</v>
      </c>
      <c r="D46" s="3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3761.581834760236</v>
      </c>
      <c r="J46" s="30">
        <f>I46/C5/12</f>
        <v>0.11165277039953209</v>
      </c>
      <c r="K46" s="42">
        <f>J46*C5*3</f>
        <v>940.3954586900591</v>
      </c>
      <c r="L46" s="7">
        <f>J46*C5*6</f>
        <v>1880.7909173801181</v>
      </c>
      <c r="M46" s="1">
        <f>J46*C5*9</f>
        <v>2821.186376070177</v>
      </c>
      <c r="N46" s="1">
        <f>J46*C5*12</f>
        <v>3761.5818347602362</v>
      </c>
    </row>
    <row r="47" spans="2:14" ht="114.75">
      <c r="B47" s="1" t="s">
        <v>80</v>
      </c>
      <c r="C47" s="29" t="s">
        <v>129</v>
      </c>
      <c r="D47" s="3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2210.411902263517</v>
      </c>
      <c r="J47" s="30">
        <f>I47/C5/12</f>
        <v>0.06561032657356831</v>
      </c>
      <c r="K47" s="42">
        <f>J47*C5*3</f>
        <v>552.6029755658791</v>
      </c>
      <c r="L47" s="7">
        <f>J47*C5*6</f>
        <v>1105.2059511317582</v>
      </c>
      <c r="M47" s="1">
        <f>J47*C5*9</f>
        <v>1657.8089266976374</v>
      </c>
      <c r="N47" s="1">
        <f>J47*C5*12</f>
        <v>2210.4119022635164</v>
      </c>
    </row>
    <row r="48" spans="2:14" ht="12.75">
      <c r="B48" s="1"/>
      <c r="C48" s="3"/>
      <c r="D48" s="3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25.5">
      <c r="B49" s="1"/>
      <c r="C49" s="4" t="s">
        <v>242</v>
      </c>
      <c r="D49" s="3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4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17035.490260243845</v>
      </c>
      <c r="J50" s="31">
        <f t="shared" si="2"/>
        <v>0.5056542077840263</v>
      </c>
      <c r="K50" s="43">
        <f t="shared" si="2"/>
        <v>4258.872565060961</v>
      </c>
      <c r="L50" s="6">
        <f t="shared" si="2"/>
        <v>8517.745130121923</v>
      </c>
      <c r="M50" s="2">
        <f t="shared" si="2"/>
        <v>12776.617695182884</v>
      </c>
      <c r="N50" s="2">
        <f t="shared" si="2"/>
        <v>17035.490260243845</v>
      </c>
    </row>
    <row r="51" spans="2:14" ht="51">
      <c r="B51" s="1" t="s">
        <v>81</v>
      </c>
      <c r="C51" s="4" t="s">
        <v>39</v>
      </c>
      <c r="D51" s="4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38.25">
      <c r="B52" s="1" t="s">
        <v>82</v>
      </c>
      <c r="C52" s="3" t="s">
        <v>83</v>
      </c>
      <c r="D52" s="3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13231.660461188496</v>
      </c>
      <c r="J52" s="30">
        <f>I52/C5/12</f>
        <v>0.3927474164793261</v>
      </c>
      <c r="K52" s="42">
        <f>J52*C5*3</f>
        <v>3307.9151152971235</v>
      </c>
      <c r="L52" s="7">
        <f>J52*C5*6</f>
        <v>6615.830230594247</v>
      </c>
      <c r="M52" s="1">
        <f>J52*C5*9</f>
        <v>9923.745345891371</v>
      </c>
      <c r="N52" s="1">
        <f>J52*C5*12</f>
        <v>13231.660461188494</v>
      </c>
    </row>
    <row r="53" spans="2:14" ht="25.5">
      <c r="B53" s="1" t="s">
        <v>84</v>
      </c>
      <c r="C53" s="3" t="s">
        <v>427</v>
      </c>
      <c r="D53" s="3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4498.765238085512</v>
      </c>
      <c r="J53" s="30">
        <f>I53/C5/12</f>
        <v>0.13353414182503745</v>
      </c>
      <c r="K53" s="42">
        <f>J53*C5*3</f>
        <v>1124.691309521378</v>
      </c>
      <c r="L53" s="7">
        <f>J53*C5*6</f>
        <v>2249.382619042756</v>
      </c>
      <c r="M53" s="1">
        <f>J53*C5*9</f>
        <v>3374.073928564134</v>
      </c>
      <c r="N53" s="1">
        <f>J53*C5*12</f>
        <v>4498.765238085512</v>
      </c>
    </row>
    <row r="54" spans="2:14" ht="63.75">
      <c r="B54" s="1" t="s">
        <v>86</v>
      </c>
      <c r="C54" s="3" t="s">
        <v>87</v>
      </c>
      <c r="D54" s="3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8841.644770381467</v>
      </c>
      <c r="J54" s="30">
        <f>I54/C5/12</f>
        <v>0.2624412220356624</v>
      </c>
      <c r="K54" s="42">
        <f>J54*C5*3</f>
        <v>2210.4111925953666</v>
      </c>
      <c r="L54" s="7">
        <f>J54*C5*6</f>
        <v>4420.822385190733</v>
      </c>
      <c r="M54" s="1">
        <f>J54*C5*9</f>
        <v>6631.233577786099</v>
      </c>
      <c r="N54" s="1">
        <f>J54*C5*12</f>
        <v>8841.644770381467</v>
      </c>
    </row>
    <row r="55" spans="2:14" ht="51">
      <c r="B55" s="1" t="s">
        <v>88</v>
      </c>
      <c r="C55" s="3" t="s">
        <v>130</v>
      </c>
      <c r="D55" s="3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51">
      <c r="B56" s="1" t="s">
        <v>89</v>
      </c>
      <c r="C56" s="3" t="s">
        <v>90</v>
      </c>
      <c r="D56" s="3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76.5">
      <c r="B57" s="1" t="s">
        <v>91</v>
      </c>
      <c r="C57" s="3" t="s">
        <v>92</v>
      </c>
      <c r="D57" s="3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3"/>
      <c r="D58" s="3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4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26572.070469655475</v>
      </c>
      <c r="J59" s="31">
        <f t="shared" si="3"/>
        <v>0.7887227803400259</v>
      </c>
      <c r="K59" s="43">
        <f t="shared" si="3"/>
        <v>6643.017617413868</v>
      </c>
      <c r="L59" s="6">
        <f t="shared" si="3"/>
        <v>13286.035234827736</v>
      </c>
      <c r="M59" s="2">
        <f t="shared" si="3"/>
        <v>19929.052852241606</v>
      </c>
      <c r="N59" s="2">
        <f t="shared" si="3"/>
        <v>26572.07046965547</v>
      </c>
    </row>
    <row r="60" spans="2:14" ht="51">
      <c r="B60" s="1" t="s">
        <v>95</v>
      </c>
      <c r="C60" s="4" t="s">
        <v>481</v>
      </c>
      <c r="D60" s="4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25.5">
      <c r="B61" s="1" t="s">
        <v>96</v>
      </c>
      <c r="C61" s="3" t="s">
        <v>97</v>
      </c>
      <c r="D61" s="3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60123.77545022914</v>
      </c>
      <c r="J61" s="30">
        <f>I61/C5/12</f>
        <v>1.7846178524852816</v>
      </c>
      <c r="K61" s="42">
        <f>J61*C5*3</f>
        <v>15030.943862557284</v>
      </c>
      <c r="L61" s="7">
        <f>J61*C5*6</f>
        <v>30061.887725114568</v>
      </c>
      <c r="M61" s="1">
        <f>J61*C5*9</f>
        <v>45092.83158767185</v>
      </c>
      <c r="N61" s="1">
        <f>J61*C5*12</f>
        <v>60123.775450229135</v>
      </c>
    </row>
    <row r="62" spans="2:14" ht="25.5">
      <c r="B62" s="1" t="s">
        <v>98</v>
      </c>
      <c r="C62" s="3" t="s">
        <v>99</v>
      </c>
      <c r="D62" s="3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20442.0847317735</v>
      </c>
      <c r="J62" s="30">
        <f>I62/C5/12</f>
        <v>0.606770101863268</v>
      </c>
      <c r="K62" s="42">
        <f>J62*C5*3</f>
        <v>5110.521182943375</v>
      </c>
      <c r="L62" s="7">
        <f>J62*C5*6</f>
        <v>10221.04236588675</v>
      </c>
      <c r="M62" s="1">
        <f>J62*C5*9</f>
        <v>15331.563548830123</v>
      </c>
      <c r="N62" s="1">
        <f>J62*C5*12</f>
        <v>20442.0847317735</v>
      </c>
    </row>
    <row r="63" spans="2:14" ht="25.5">
      <c r="B63" s="1" t="s">
        <v>100</v>
      </c>
      <c r="C63" s="3" t="s">
        <v>184</v>
      </c>
      <c r="D63" s="3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14262.72880004481</v>
      </c>
      <c r="J63" s="30">
        <f>I63/C5/12</f>
        <v>0.4233519976267382</v>
      </c>
      <c r="K63" s="42">
        <f>J63*C5*3</f>
        <v>3565.6822000112024</v>
      </c>
      <c r="L63" s="7">
        <f>J63*C5*6</f>
        <v>7131.364400022405</v>
      </c>
      <c r="M63" s="1">
        <f>J63*C5*9</f>
        <v>10697.046600033607</v>
      </c>
      <c r="N63" s="1">
        <f>J63*C5*12</f>
        <v>14262.72880004481</v>
      </c>
    </row>
    <row r="64" spans="2:14" ht="25.5">
      <c r="B64" s="1" t="s">
        <v>102</v>
      </c>
      <c r="C64" s="3" t="s">
        <v>158</v>
      </c>
      <c r="D64" s="3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51">
      <c r="B65" s="1" t="s">
        <v>104</v>
      </c>
      <c r="C65" s="4" t="s">
        <v>416</v>
      </c>
      <c r="D65" s="3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63.75">
      <c r="B66" s="1" t="s">
        <v>105</v>
      </c>
      <c r="C66" s="3" t="s">
        <v>106</v>
      </c>
      <c r="D66" s="3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>
        <f>G66/5*C12</f>
        <v>6542.61</v>
      </c>
      <c r="J66" s="30">
        <f>I66/C5/12</f>
        <v>0.19420035618878004</v>
      </c>
      <c r="K66" s="42">
        <f>J66*C5*3</f>
        <v>1635.6525</v>
      </c>
      <c r="L66" s="7">
        <f>J66*C5*6</f>
        <v>3271.305</v>
      </c>
      <c r="M66" s="1"/>
      <c r="N66" s="1"/>
    </row>
    <row r="67" spans="2:14" ht="12.75">
      <c r="B67" s="1"/>
      <c r="C67" s="4" t="s">
        <v>60</v>
      </c>
      <c r="D67" s="4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101371.19898204746</v>
      </c>
      <c r="J67" s="31">
        <f t="shared" si="4"/>
        <v>3.008940308164068</v>
      </c>
      <c r="K67" s="43">
        <f t="shared" si="4"/>
        <v>25342.799745511864</v>
      </c>
      <c r="L67" s="6">
        <f t="shared" si="4"/>
        <v>50685.59949102373</v>
      </c>
      <c r="M67" s="2">
        <f t="shared" si="4"/>
        <v>71121.44173653558</v>
      </c>
      <c r="N67" s="2">
        <f t="shared" si="4"/>
        <v>94828.58898204745</v>
      </c>
    </row>
    <row r="68" spans="2:14" ht="12.75">
      <c r="B68" s="1" t="s">
        <v>109</v>
      </c>
      <c r="C68" s="4" t="s">
        <v>482</v>
      </c>
      <c r="D68" s="4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89.25">
      <c r="B69" s="1" t="s">
        <v>110</v>
      </c>
      <c r="C69" s="3" t="s">
        <v>483</v>
      </c>
      <c r="D69" s="3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5509.048816169888</v>
      </c>
      <c r="J69" s="30">
        <f>I69/C5/12</f>
        <v>0.1635217814238613</v>
      </c>
      <c r="K69" s="42">
        <f>J69*C5*3</f>
        <v>1377.262204042472</v>
      </c>
      <c r="L69" s="7">
        <f>J69*C5*6</f>
        <v>2754.524408084944</v>
      </c>
      <c r="M69" s="1">
        <f>J69*C5*9</f>
        <v>4131.7866121274155</v>
      </c>
      <c r="N69" s="1">
        <f>J69*C5*12</f>
        <v>5509.048816169888</v>
      </c>
    </row>
    <row r="70" spans="2:14" ht="25.5">
      <c r="B70" s="1"/>
      <c r="C70" s="3"/>
      <c r="D70" s="3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1873.0782439278696</v>
      </c>
      <c r="J70" s="30">
        <f>I70/C5/12</f>
        <v>0.05559745455410714</v>
      </c>
      <c r="K70" s="42">
        <f>J70*C5*3</f>
        <v>468.2695609819674</v>
      </c>
      <c r="L70" s="7">
        <f>J70*C5*6</f>
        <v>936.5391219639348</v>
      </c>
      <c r="M70" s="1">
        <f>J70*C5*9</f>
        <v>1404.808682945902</v>
      </c>
      <c r="N70" s="1">
        <f>J70*C5*12</f>
        <v>1873.0782439278696</v>
      </c>
    </row>
    <row r="71" spans="2:14" ht="12.75">
      <c r="B71" s="1"/>
      <c r="C71" s="3"/>
      <c r="D71" s="3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1584.7429133284247</v>
      </c>
      <c r="J71" s="30">
        <f>I71/C5/12</f>
        <v>0.04703897041639729</v>
      </c>
      <c r="K71" s="42">
        <f>J71*C5*3</f>
        <v>396.1857283321062</v>
      </c>
      <c r="L71" s="7">
        <f>J71*C5*6</f>
        <v>792.3714566642124</v>
      </c>
      <c r="M71" s="1">
        <f>J71*C5*9</f>
        <v>1188.5571849963185</v>
      </c>
      <c r="N71" s="1">
        <f>J71*C5*12</f>
        <v>1584.7429133284247</v>
      </c>
    </row>
    <row r="72" spans="2:14" ht="38.25">
      <c r="B72" s="1"/>
      <c r="C72" s="3"/>
      <c r="D72" s="3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9770.100772118947</v>
      </c>
      <c r="J72" s="30">
        <f>I72/C5/12</f>
        <v>0.29000002291834215</v>
      </c>
      <c r="K72" s="42">
        <f>J72*C5*3</f>
        <v>2442.525193029737</v>
      </c>
      <c r="L72" s="7">
        <f>J72*C5*6</f>
        <v>4885.050386059474</v>
      </c>
      <c r="M72" s="1">
        <f>J72*C5*9</f>
        <v>7327.575579089211</v>
      </c>
      <c r="N72" s="1">
        <f>J72*C5*12</f>
        <v>9770.100772118947</v>
      </c>
    </row>
    <row r="73" spans="2:14" ht="12.75">
      <c r="B73" s="1"/>
      <c r="C73" s="3"/>
      <c r="D73" s="3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4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18736.970745545128</v>
      </c>
      <c r="J74" s="31">
        <f t="shared" si="5"/>
        <v>0.5561582293127079</v>
      </c>
      <c r="K74" s="43">
        <f t="shared" si="5"/>
        <v>4684.242686386282</v>
      </c>
      <c r="L74" s="6">
        <f t="shared" si="5"/>
        <v>9368.485372772564</v>
      </c>
      <c r="M74" s="2">
        <f t="shared" si="5"/>
        <v>14052.728059158846</v>
      </c>
      <c r="N74" s="2">
        <f t="shared" si="5"/>
        <v>18736.970745545128</v>
      </c>
    </row>
    <row r="75" spans="2:14" ht="12.75">
      <c r="B75" s="1" t="s">
        <v>113</v>
      </c>
      <c r="C75" s="4" t="s">
        <v>484</v>
      </c>
      <c r="D75" s="4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3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3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3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3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4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321001.29007403</v>
      </c>
      <c r="J80" s="31">
        <f>J33+J42+J43+J50+J59+J67+J74</f>
        <v>9.52808815892045</v>
      </c>
      <c r="K80" s="43">
        <f>J80*C5*3</f>
        <v>80250.3225185075</v>
      </c>
      <c r="L80" s="6">
        <f>L33+L42+L43+L50+L59+L67+L74</f>
        <v>160500.645037015</v>
      </c>
      <c r="M80" s="2">
        <f>M33+M42+M43+M50+M59+M67+M74</f>
        <v>235844.0100555225</v>
      </c>
      <c r="N80" s="2">
        <f>N33+N42+N43+N50+N59+N67+N74</f>
        <v>314458.68007403</v>
      </c>
    </row>
    <row r="81" spans="2:14" ht="25.5">
      <c r="B81" s="1"/>
      <c r="C81" s="3" t="s">
        <v>118</v>
      </c>
      <c r="D81" s="3"/>
      <c r="E81" s="1"/>
      <c r="F81" s="1">
        <v>1724360</v>
      </c>
      <c r="G81" s="1">
        <v>1204102.5</v>
      </c>
      <c r="H81" s="1">
        <v>520257.5</v>
      </c>
      <c r="I81" s="1">
        <f>G81/G80*I80</f>
        <v>33604.354001823565</v>
      </c>
      <c r="J81" s="30">
        <f>I81/C5/12</f>
        <v>0.9974578213660897</v>
      </c>
      <c r="K81" s="42">
        <f>J81*C5*3</f>
        <v>8401.088500455891</v>
      </c>
      <c r="L81" s="7">
        <f>J81*C5*6</f>
        <v>16802.177000911783</v>
      </c>
      <c r="M81" s="1">
        <f>J81*C5*9</f>
        <v>25203.265501367674</v>
      </c>
      <c r="N81" s="1">
        <f>J81*C5*12</f>
        <v>33604.354001823565</v>
      </c>
    </row>
    <row r="82" spans="2:14" ht="25.5">
      <c r="B82" s="1"/>
      <c r="C82" s="3" t="s">
        <v>119</v>
      </c>
      <c r="D82" s="3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89967.34834266221</v>
      </c>
      <c r="J82" s="30">
        <f>I82/C5/12</f>
        <v>2.670446670901223</v>
      </c>
      <c r="K82" s="42">
        <f>J82*C5*3</f>
        <v>22491.837085665553</v>
      </c>
      <c r="L82" s="7">
        <f>J82*C5*6</f>
        <v>44983.674171331106</v>
      </c>
      <c r="M82" s="1">
        <f>J82*C5*9</f>
        <v>67475.51125699666</v>
      </c>
      <c r="N82" s="1">
        <f>J82*C5*12</f>
        <v>89967.34834266221</v>
      </c>
    </row>
    <row r="83" spans="2:14" ht="12.75">
      <c r="B83" s="2" t="s">
        <v>590</v>
      </c>
      <c r="C83" s="4"/>
      <c r="D83" s="4"/>
      <c r="E83" s="2"/>
      <c r="F83" s="2">
        <v>26668865.67</v>
      </c>
      <c r="G83" s="2">
        <v>15929824.3</v>
      </c>
      <c r="H83" s="2">
        <v>10739041.4</v>
      </c>
      <c r="I83" s="2">
        <f>I80+I81+I82</f>
        <v>444572.9924185158</v>
      </c>
      <c r="J83" s="31">
        <f>J80+J81+J82</f>
        <v>13.195992651187764</v>
      </c>
      <c r="K83" s="43">
        <f>J83*C5*3</f>
        <v>111143.24810462893</v>
      </c>
      <c r="L83" s="6">
        <f>SUM(L80:L82)</f>
        <v>222286.4962092579</v>
      </c>
      <c r="M83" s="2">
        <f>SUM(M80:M82)</f>
        <v>328522.78681388684</v>
      </c>
      <c r="N83" s="2">
        <f>SUM(N80:N82)</f>
        <v>438030.3824185158</v>
      </c>
    </row>
    <row r="84" spans="2:14" ht="12.75">
      <c r="B84" s="1" t="s">
        <v>120</v>
      </c>
      <c r="C84" s="3"/>
      <c r="D84" s="3"/>
      <c r="E84" s="1"/>
      <c r="F84" s="1">
        <v>1333443.28</v>
      </c>
      <c r="G84" s="1">
        <v>796491.2</v>
      </c>
      <c r="H84" s="1">
        <v>536952.07</v>
      </c>
      <c r="I84" s="1">
        <f>G84/G83*I83</f>
        <v>22228.64920230253</v>
      </c>
      <c r="J84" s="30"/>
      <c r="K84" s="42"/>
      <c r="L84" s="7"/>
      <c r="M84" s="1"/>
      <c r="N84" s="1"/>
    </row>
    <row r="85" spans="2:14" ht="25.5">
      <c r="B85" s="1"/>
      <c r="C85" s="4" t="s">
        <v>121</v>
      </c>
      <c r="D85" s="4"/>
      <c r="E85" s="2"/>
      <c r="F85" s="2">
        <v>28002308.95</v>
      </c>
      <c r="G85" s="2">
        <v>16726315.5</v>
      </c>
      <c r="H85" s="2">
        <v>11275993.5</v>
      </c>
      <c r="I85" s="2">
        <f>I83+I84</f>
        <v>466801.6416208183</v>
      </c>
      <c r="J85" s="31">
        <f>J83+J84</f>
        <v>13.195992651187764</v>
      </c>
      <c r="K85" s="43">
        <f>J85*C5*3</f>
        <v>111143.24810462893</v>
      </c>
      <c r="L85" s="6">
        <f>L83+L84</f>
        <v>222286.4962092579</v>
      </c>
      <c r="M85" s="2">
        <f>M83+M84</f>
        <v>328522.78681388684</v>
      </c>
      <c r="N85" s="2">
        <f>N83+N84</f>
        <v>438030.3824185158</v>
      </c>
    </row>
    <row r="86" spans="2:14" ht="12.7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11.97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3.5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4:K98"/>
  <sheetViews>
    <sheetView workbookViewId="0" topLeftCell="A4">
      <pane xSplit="1" ySplit="14" topLeftCell="B77" activePane="bottomRight" state="frozen"/>
      <selection pane="topLeft" activeCell="A4" sqref="A4"/>
      <selection pane="topRight" activeCell="B4" sqref="B4"/>
      <selection pane="bottomLeft" activeCell="A18" sqref="A18"/>
      <selection pane="bottomRight" activeCell="K21" sqref="K21:K98"/>
    </sheetView>
  </sheetViews>
  <sheetFormatPr defaultColWidth="9.140625" defaultRowHeight="12.75"/>
  <cols>
    <col min="3" max="3" width="35.421875" style="0" customWidth="1"/>
    <col min="4" max="4" width="14.57421875" style="0" customWidth="1"/>
    <col min="5" max="5" width="13.8515625" style="0" customWidth="1"/>
    <col min="6" max="6" width="13.00390625" style="0" customWidth="1"/>
    <col min="7" max="7" width="11.00390625" style="0" customWidth="1"/>
    <col min="8" max="8" width="12.8515625" style="0" customWidth="1"/>
    <col min="10" max="10" width="11.7109375" style="0" customWidth="1"/>
    <col min="11" max="11" width="12.57421875" style="0" customWidth="1"/>
  </cols>
  <sheetData>
    <row r="4" spans="2:3" ht="12.75">
      <c r="B4" t="s">
        <v>487</v>
      </c>
      <c r="C4" s="5" t="s">
        <v>381</v>
      </c>
    </row>
    <row r="5" spans="2:3" ht="12.75">
      <c r="B5" t="s">
        <v>488</v>
      </c>
      <c r="C5">
        <v>2226.4</v>
      </c>
    </row>
    <row r="6" spans="2:3" ht="12.75">
      <c r="B6" t="s">
        <v>489</v>
      </c>
      <c r="C6">
        <v>2848</v>
      </c>
    </row>
    <row r="7" spans="2:3" ht="12.75">
      <c r="B7" t="s">
        <v>490</v>
      </c>
      <c r="C7">
        <v>1106</v>
      </c>
    </row>
    <row r="8" spans="2:3" ht="12.75">
      <c r="B8" t="s">
        <v>491</v>
      </c>
      <c r="C8">
        <v>363</v>
      </c>
    </row>
    <row r="9" spans="2:3" ht="12.75">
      <c r="B9" t="s">
        <v>493</v>
      </c>
      <c r="C9">
        <v>54</v>
      </c>
    </row>
    <row r="10" spans="2:3" ht="12.75">
      <c r="B10" t="s">
        <v>494</v>
      </c>
      <c r="C10">
        <v>9</v>
      </c>
    </row>
    <row r="11" spans="2:3" ht="12.75">
      <c r="B11" t="s">
        <v>484</v>
      </c>
      <c r="C11">
        <v>1</v>
      </c>
    </row>
    <row r="12" spans="2:3" ht="12.75">
      <c r="B12" t="s">
        <v>547</v>
      </c>
      <c r="C12">
        <v>2</v>
      </c>
    </row>
    <row r="13" spans="2:11" ht="12.75" customHeight="1">
      <c r="B13" s="74" t="s">
        <v>40</v>
      </c>
      <c r="C13" s="74" t="s">
        <v>22</v>
      </c>
      <c r="D13" s="74" t="s">
        <v>41</v>
      </c>
      <c r="E13" s="74" t="s">
        <v>42</v>
      </c>
      <c r="F13" s="74" t="s">
        <v>43</v>
      </c>
      <c r="G13" s="74" t="s">
        <v>44</v>
      </c>
      <c r="H13" s="74"/>
      <c r="I13" s="79" t="s">
        <v>123</v>
      </c>
      <c r="J13" s="79"/>
      <c r="K13" s="75" t="s">
        <v>380</v>
      </c>
    </row>
    <row r="14" spans="2:11" ht="12.75" customHeight="1">
      <c r="B14" s="74"/>
      <c r="C14" s="74"/>
      <c r="D14" s="74"/>
      <c r="E14" s="74"/>
      <c r="F14" s="74"/>
      <c r="G14" s="74" t="s">
        <v>122</v>
      </c>
      <c r="H14" s="74" t="s">
        <v>45</v>
      </c>
      <c r="I14" s="74" t="s">
        <v>124</v>
      </c>
      <c r="J14" s="74" t="s">
        <v>125</v>
      </c>
      <c r="K14" s="59"/>
    </row>
    <row r="15" spans="2:11" ht="12.75">
      <c r="B15" s="74"/>
      <c r="C15" s="74"/>
      <c r="D15" s="74"/>
      <c r="E15" s="74"/>
      <c r="F15" s="74"/>
      <c r="G15" s="74"/>
      <c r="H15" s="74"/>
      <c r="I15" s="74"/>
      <c r="J15" s="74"/>
      <c r="K15" s="59"/>
    </row>
    <row r="16" spans="2:11" ht="12.75">
      <c r="B16" s="74"/>
      <c r="C16" s="74"/>
      <c r="D16" s="74"/>
      <c r="E16" s="74"/>
      <c r="F16" s="74"/>
      <c r="G16" s="74"/>
      <c r="H16" s="74"/>
      <c r="I16" s="74"/>
      <c r="J16" s="74"/>
      <c r="K16" s="59"/>
    </row>
    <row r="17" spans="2:11" ht="12.75">
      <c r="B17" s="74"/>
      <c r="C17" s="74"/>
      <c r="D17" s="74"/>
      <c r="E17" s="74"/>
      <c r="F17" s="74"/>
      <c r="G17" s="74"/>
      <c r="H17" s="74"/>
      <c r="I17" s="74"/>
      <c r="J17" s="74"/>
      <c r="K17" s="60"/>
    </row>
    <row r="18" spans="2:11" ht="12.75">
      <c r="B18" s="1"/>
      <c r="C18" s="1"/>
      <c r="D18" s="3"/>
      <c r="E18" s="3"/>
      <c r="F18" s="1"/>
      <c r="G18" s="1"/>
      <c r="H18" s="1"/>
      <c r="I18" s="1"/>
      <c r="J18" s="1"/>
      <c r="K18" s="1"/>
    </row>
    <row r="19" spans="2:11" ht="12.75">
      <c r="B19" s="1"/>
      <c r="C19" s="1"/>
      <c r="D19" s="3"/>
      <c r="E19" s="3"/>
      <c r="F19" s="1"/>
      <c r="G19" s="1"/>
      <c r="H19" s="1"/>
      <c r="I19" s="1"/>
      <c r="J19" s="1"/>
      <c r="K19" s="1"/>
    </row>
    <row r="20" spans="2:11" ht="12.75">
      <c r="B20" s="1"/>
      <c r="C20" s="1"/>
      <c r="D20" s="3"/>
      <c r="E20" s="3"/>
      <c r="F20" s="1"/>
      <c r="G20" s="1"/>
      <c r="H20" s="1"/>
      <c r="I20" s="1"/>
      <c r="J20" s="1"/>
      <c r="K20" s="1"/>
    </row>
    <row r="21" spans="2:11" ht="12.75">
      <c r="B21" s="1"/>
      <c r="C21" s="4" t="s">
        <v>46</v>
      </c>
      <c r="D21" s="4"/>
      <c r="E21" s="4"/>
      <c r="F21" s="2"/>
      <c r="G21" s="2"/>
      <c r="H21" s="2"/>
      <c r="I21" s="1"/>
      <c r="J21" s="1"/>
      <c r="K21" s="1"/>
    </row>
    <row r="22" spans="2:11" ht="12.75">
      <c r="B22" s="1"/>
      <c r="C22" s="3"/>
      <c r="D22" s="3"/>
      <c r="E22" s="3"/>
      <c r="F22" s="1"/>
      <c r="G22" s="1"/>
      <c r="H22" s="1"/>
      <c r="I22" s="1"/>
      <c r="J22" s="1"/>
      <c r="K22" s="1"/>
    </row>
    <row r="23" spans="2:11" ht="12.75">
      <c r="B23" s="1" t="s">
        <v>47</v>
      </c>
      <c r="C23" s="4" t="s">
        <v>23</v>
      </c>
      <c r="D23" s="4"/>
      <c r="E23" s="4"/>
      <c r="F23" s="2"/>
      <c r="G23" s="2"/>
      <c r="H23" s="2"/>
      <c r="I23" s="1"/>
      <c r="J23" s="1"/>
      <c r="K23" s="1"/>
    </row>
    <row r="24" spans="2:11" ht="25.5">
      <c r="B24" s="1" t="s">
        <v>48</v>
      </c>
      <c r="C24" s="4" t="s">
        <v>24</v>
      </c>
      <c r="D24" s="4"/>
      <c r="E24" s="4"/>
      <c r="F24" s="2"/>
      <c r="G24" s="2"/>
      <c r="H24" s="2"/>
      <c r="I24" s="1"/>
      <c r="J24" s="1"/>
      <c r="K24" s="1"/>
    </row>
    <row r="25" spans="2:11" ht="25.5">
      <c r="B25" s="1" t="s">
        <v>49</v>
      </c>
      <c r="C25" s="3" t="s">
        <v>25</v>
      </c>
      <c r="D25" s="3"/>
      <c r="E25" s="3"/>
      <c r="F25" s="1"/>
      <c r="G25" s="1"/>
      <c r="H25" s="1"/>
      <c r="I25" s="1"/>
      <c r="J25" s="1"/>
      <c r="K25" s="1"/>
    </row>
    <row r="26" spans="2:11" ht="25.5">
      <c r="B26" s="1" t="s">
        <v>50</v>
      </c>
      <c r="C26" s="3" t="s">
        <v>26</v>
      </c>
      <c r="D26" s="3" t="s">
        <v>51</v>
      </c>
      <c r="E26" s="3"/>
      <c r="F26" s="1"/>
      <c r="G26" s="1"/>
      <c r="H26" s="1"/>
      <c r="I26" s="1"/>
      <c r="J26" s="30"/>
      <c r="K26" s="7"/>
    </row>
    <row r="27" spans="2:11" ht="25.5">
      <c r="B27" s="1" t="s">
        <v>52</v>
      </c>
      <c r="C27" s="3" t="s">
        <v>27</v>
      </c>
      <c r="D27" s="3" t="s">
        <v>53</v>
      </c>
      <c r="E27" s="3"/>
      <c r="F27" s="1"/>
      <c r="G27" s="1"/>
      <c r="H27" s="1"/>
      <c r="I27" s="1"/>
      <c r="J27" s="30"/>
      <c r="K27" s="7"/>
    </row>
    <row r="28" spans="2:11" ht="12.75">
      <c r="B28" s="1" t="s">
        <v>54</v>
      </c>
      <c r="C28" s="3" t="s">
        <v>28</v>
      </c>
      <c r="D28" s="3" t="s">
        <v>536</v>
      </c>
      <c r="E28" s="3"/>
      <c r="F28" s="1"/>
      <c r="G28" s="1"/>
      <c r="H28" s="1"/>
      <c r="I28" s="1"/>
      <c r="J28" s="30"/>
      <c r="K28" s="7"/>
    </row>
    <row r="29" spans="2:11" ht="12.75">
      <c r="B29" s="1" t="s">
        <v>55</v>
      </c>
      <c r="C29" s="3" t="s">
        <v>29</v>
      </c>
      <c r="D29" s="3"/>
      <c r="E29" s="3"/>
      <c r="F29" s="1"/>
      <c r="G29" s="1"/>
      <c r="H29" s="1"/>
      <c r="I29" s="1"/>
      <c r="J29" s="1"/>
      <c r="K29" s="7"/>
    </row>
    <row r="30" spans="2:11" ht="38.25">
      <c r="B30" s="1" t="s">
        <v>56</v>
      </c>
      <c r="C30" s="3" t="s">
        <v>57</v>
      </c>
      <c r="D30" s="3" t="s">
        <v>58</v>
      </c>
      <c r="E30" s="3"/>
      <c r="F30" s="1"/>
      <c r="G30" s="1"/>
      <c r="H30" s="1"/>
      <c r="I30" s="1"/>
      <c r="J30" s="30"/>
      <c r="K30" s="7"/>
    </row>
    <row r="31" spans="2:11" ht="38.25">
      <c r="B31" s="1" t="s">
        <v>59</v>
      </c>
      <c r="C31" s="3" t="s">
        <v>30</v>
      </c>
      <c r="D31" s="3"/>
      <c r="E31" s="3"/>
      <c r="F31" s="1"/>
      <c r="G31" s="1"/>
      <c r="H31" s="1"/>
      <c r="I31" s="1"/>
      <c r="J31" s="1"/>
      <c r="K31" s="7"/>
    </row>
    <row r="32" spans="2:11" ht="12.75">
      <c r="B32" s="1"/>
      <c r="C32" s="4" t="s">
        <v>60</v>
      </c>
      <c r="D32" s="4"/>
      <c r="E32" s="4"/>
      <c r="F32" s="2"/>
      <c r="G32" s="2"/>
      <c r="H32" s="2"/>
      <c r="I32" s="2"/>
      <c r="J32" s="31"/>
      <c r="K32" s="6"/>
    </row>
    <row r="33" spans="2:11" ht="38.25">
      <c r="B33" s="1" t="s">
        <v>61</v>
      </c>
      <c r="C33" s="4" t="s">
        <v>31</v>
      </c>
      <c r="D33" s="4"/>
      <c r="E33" s="4"/>
      <c r="F33" s="2"/>
      <c r="G33" s="2"/>
      <c r="H33" s="2"/>
      <c r="I33" s="1"/>
      <c r="J33" s="1"/>
      <c r="K33" s="7"/>
    </row>
    <row r="34" spans="2:11" ht="25.5">
      <c r="B34" s="1" t="s">
        <v>62</v>
      </c>
      <c r="C34" s="3" t="s">
        <v>32</v>
      </c>
      <c r="D34" s="3" t="s">
        <v>51</v>
      </c>
      <c r="E34" s="3"/>
      <c r="F34" s="1"/>
      <c r="G34" s="1"/>
      <c r="H34" s="1"/>
      <c r="I34" s="1"/>
      <c r="J34" s="30"/>
      <c r="K34" s="7"/>
    </row>
    <row r="35" spans="2:11" ht="25.5">
      <c r="B35" s="1" t="s">
        <v>63</v>
      </c>
      <c r="C35" s="3" t="s">
        <v>311</v>
      </c>
      <c r="D35" s="3" t="s">
        <v>53</v>
      </c>
      <c r="E35" s="3"/>
      <c r="F35" s="1"/>
      <c r="G35" s="1"/>
      <c r="H35" s="1"/>
      <c r="I35" s="1"/>
      <c r="J35" s="30"/>
      <c r="K35" s="7"/>
    </row>
    <row r="36" spans="2:11" ht="12.75">
      <c r="B36" s="1" t="s">
        <v>65</v>
      </c>
      <c r="C36" s="3" t="s">
        <v>66</v>
      </c>
      <c r="D36" s="3" t="s">
        <v>536</v>
      </c>
      <c r="E36" s="3"/>
      <c r="F36" s="1"/>
      <c r="G36" s="1"/>
      <c r="H36" s="1"/>
      <c r="I36" s="1"/>
      <c r="J36" s="30"/>
      <c r="K36" s="7"/>
    </row>
    <row r="37" spans="2:11" ht="25.5">
      <c r="B37" s="1" t="s">
        <v>67</v>
      </c>
      <c r="C37" s="3" t="s">
        <v>34</v>
      </c>
      <c r="D37" s="3" t="s">
        <v>68</v>
      </c>
      <c r="E37" s="3"/>
      <c r="F37" s="1"/>
      <c r="G37" s="1"/>
      <c r="H37" s="1"/>
      <c r="I37" s="1"/>
      <c r="J37" s="30"/>
      <c r="K37" s="7"/>
    </row>
    <row r="38" spans="2:11" ht="25.5">
      <c r="B38" s="1" t="s">
        <v>69</v>
      </c>
      <c r="C38" s="3" t="s">
        <v>35</v>
      </c>
      <c r="D38" s="3"/>
      <c r="E38" s="3"/>
      <c r="F38" s="1"/>
      <c r="G38" s="1"/>
      <c r="H38" s="1"/>
      <c r="I38" s="1"/>
      <c r="J38" s="30"/>
      <c r="K38" s="7"/>
    </row>
    <row r="39" spans="2:11" ht="12.75">
      <c r="B39" s="1" t="s">
        <v>70</v>
      </c>
      <c r="C39" s="3" t="s">
        <v>36</v>
      </c>
      <c r="D39" s="3" t="s">
        <v>71</v>
      </c>
      <c r="E39" s="3"/>
      <c r="F39" s="1"/>
      <c r="G39" s="1"/>
      <c r="H39" s="1"/>
      <c r="I39" s="1"/>
      <c r="J39" s="30"/>
      <c r="K39" s="7"/>
    </row>
    <row r="40" spans="2:11" ht="12.75">
      <c r="B40" s="1" t="s">
        <v>72</v>
      </c>
      <c r="C40" s="3" t="s">
        <v>73</v>
      </c>
      <c r="D40" s="3"/>
      <c r="E40" s="3"/>
      <c r="F40" s="1"/>
      <c r="G40" s="1"/>
      <c r="H40" s="1"/>
      <c r="I40" s="1"/>
      <c r="J40" s="30"/>
      <c r="K40" s="7"/>
    </row>
    <row r="41" spans="2:11" ht="12.75">
      <c r="B41" s="1"/>
      <c r="C41" s="4" t="s">
        <v>60</v>
      </c>
      <c r="D41" s="4"/>
      <c r="E41" s="4"/>
      <c r="F41" s="2"/>
      <c r="G41" s="2"/>
      <c r="H41" s="2"/>
      <c r="I41" s="2"/>
      <c r="J41" s="31"/>
      <c r="K41" s="6"/>
    </row>
    <row r="42" spans="2:11" ht="12.75">
      <c r="B42" s="1" t="s">
        <v>74</v>
      </c>
      <c r="C42" s="4" t="s">
        <v>37</v>
      </c>
      <c r="D42" s="4"/>
      <c r="E42" s="4"/>
      <c r="F42" s="2"/>
      <c r="G42" s="2"/>
      <c r="H42" s="2"/>
      <c r="I42" s="2"/>
      <c r="J42" s="31"/>
      <c r="K42" s="6"/>
    </row>
    <row r="43" spans="2:11" ht="38.25">
      <c r="B43" s="1" t="s">
        <v>75</v>
      </c>
      <c r="C43" s="4" t="s">
        <v>38</v>
      </c>
      <c r="D43" s="4"/>
      <c r="E43" s="4"/>
      <c r="F43" s="2"/>
      <c r="G43" s="2"/>
      <c r="H43" s="2"/>
      <c r="I43" s="1"/>
      <c r="J43" s="1"/>
      <c r="K43" s="7"/>
    </row>
    <row r="44" spans="2:11" ht="63.75">
      <c r="B44" s="1" t="s">
        <v>76</v>
      </c>
      <c r="C44" s="3" t="s">
        <v>77</v>
      </c>
      <c r="D44" s="3" t="s">
        <v>51</v>
      </c>
      <c r="E44" s="3"/>
      <c r="F44" s="1"/>
      <c r="G44" s="1"/>
      <c r="H44" s="1"/>
      <c r="I44" s="1"/>
      <c r="J44" s="30"/>
      <c r="K44" s="7"/>
    </row>
    <row r="45" spans="2:11" ht="63.75">
      <c r="B45" s="1" t="s">
        <v>78</v>
      </c>
      <c r="C45" s="3" t="s">
        <v>354</v>
      </c>
      <c r="D45" s="3" t="s">
        <v>53</v>
      </c>
      <c r="E45" s="3"/>
      <c r="F45" s="1"/>
      <c r="G45" s="1"/>
      <c r="H45" s="1"/>
      <c r="I45" s="1"/>
      <c r="J45" s="30"/>
      <c r="K45" s="7"/>
    </row>
    <row r="46" spans="2:11" ht="89.25">
      <c r="B46" s="1" t="s">
        <v>80</v>
      </c>
      <c r="C46" s="29" t="s">
        <v>129</v>
      </c>
      <c r="D46" s="3" t="s">
        <v>536</v>
      </c>
      <c r="E46" s="3"/>
      <c r="F46" s="1"/>
      <c r="G46" s="1"/>
      <c r="H46" s="1"/>
      <c r="I46" s="1"/>
      <c r="J46" s="30"/>
      <c r="K46" s="7"/>
    </row>
    <row r="47" spans="2:11" ht="12.75">
      <c r="B47" s="1"/>
      <c r="C47" s="3"/>
      <c r="D47" s="3"/>
      <c r="E47" s="3"/>
      <c r="F47" s="1"/>
      <c r="G47" s="1"/>
      <c r="H47" s="1"/>
      <c r="I47" s="1"/>
      <c r="J47" s="30"/>
      <c r="K47" s="7"/>
    </row>
    <row r="48" spans="2:11" ht="12.75">
      <c r="B48" s="1"/>
      <c r="C48" s="3"/>
      <c r="D48" s="3" t="s">
        <v>71</v>
      </c>
      <c r="E48" s="3"/>
      <c r="F48" s="1"/>
      <c r="G48" s="1"/>
      <c r="H48" s="1"/>
      <c r="I48" s="1"/>
      <c r="J48" s="30"/>
      <c r="K48" s="7"/>
    </row>
    <row r="49" spans="2:11" ht="12.75">
      <c r="B49" s="1"/>
      <c r="C49" s="4" t="s">
        <v>60</v>
      </c>
      <c r="D49" s="4"/>
      <c r="E49" s="4"/>
      <c r="F49" s="2"/>
      <c r="G49" s="2"/>
      <c r="H49" s="2"/>
      <c r="I49" s="2"/>
      <c r="J49" s="31"/>
      <c r="K49" s="6"/>
    </row>
    <row r="50" spans="2:11" ht="38.25">
      <c r="B50" s="1" t="s">
        <v>81</v>
      </c>
      <c r="C50" s="4" t="s">
        <v>39</v>
      </c>
      <c r="D50" s="4"/>
      <c r="E50" s="4"/>
      <c r="F50" s="2"/>
      <c r="G50" s="2"/>
      <c r="H50" s="2"/>
      <c r="I50" s="1"/>
      <c r="J50" s="1"/>
      <c r="K50" s="7"/>
    </row>
    <row r="51" spans="2:11" ht="25.5">
      <c r="B51" s="1" t="s">
        <v>82</v>
      </c>
      <c r="C51" s="53" t="s">
        <v>353</v>
      </c>
      <c r="D51" s="3" t="s">
        <v>51</v>
      </c>
      <c r="E51" s="3"/>
      <c r="F51" s="1"/>
      <c r="G51" s="1"/>
      <c r="H51" s="1"/>
      <c r="I51" s="1"/>
      <c r="J51" s="30"/>
      <c r="K51" s="44"/>
    </row>
    <row r="52" spans="2:11" ht="38.25">
      <c r="B52" s="1" t="s">
        <v>84</v>
      </c>
      <c r="C52" s="3" t="s">
        <v>85</v>
      </c>
      <c r="D52" s="3" t="s">
        <v>53</v>
      </c>
      <c r="E52" s="3"/>
      <c r="F52" s="1"/>
      <c r="G52" s="1"/>
      <c r="H52" s="1"/>
      <c r="I52" s="1"/>
      <c r="J52" s="30"/>
      <c r="K52" s="44"/>
    </row>
    <row r="53" spans="2:11" ht="63.75">
      <c r="B53" s="1" t="s">
        <v>86</v>
      </c>
      <c r="C53" s="3" t="s">
        <v>468</v>
      </c>
      <c r="D53" s="3" t="s">
        <v>536</v>
      </c>
      <c r="E53" s="3"/>
      <c r="F53" s="1"/>
      <c r="G53" s="1"/>
      <c r="H53" s="1"/>
      <c r="I53" s="1"/>
      <c r="J53" s="30"/>
      <c r="K53" s="44"/>
    </row>
    <row r="54" spans="2:11" ht="38.25">
      <c r="B54" s="1" t="s">
        <v>88</v>
      </c>
      <c r="C54" s="3" t="s">
        <v>130</v>
      </c>
      <c r="D54" s="3"/>
      <c r="E54" s="3"/>
      <c r="F54" s="1"/>
      <c r="G54" s="1"/>
      <c r="H54" s="1"/>
      <c r="I54" s="1"/>
      <c r="J54" s="30"/>
      <c r="K54" s="44"/>
    </row>
    <row r="55" spans="2:11" ht="38.25">
      <c r="B55" s="1" t="s">
        <v>89</v>
      </c>
      <c r="C55" s="3" t="s">
        <v>90</v>
      </c>
      <c r="D55" s="3" t="s">
        <v>71</v>
      </c>
      <c r="E55" s="3"/>
      <c r="F55" s="1"/>
      <c r="G55" s="1"/>
      <c r="H55" s="1"/>
      <c r="I55" s="1"/>
      <c r="J55" s="30"/>
      <c r="K55" s="6"/>
    </row>
    <row r="56" spans="2:11" ht="63.75">
      <c r="B56" s="1" t="s">
        <v>91</v>
      </c>
      <c r="C56" s="3" t="s">
        <v>92</v>
      </c>
      <c r="D56" s="3"/>
      <c r="E56" s="3"/>
      <c r="F56" s="1"/>
      <c r="G56" s="1"/>
      <c r="H56" s="1"/>
      <c r="I56" s="1"/>
      <c r="J56" s="30"/>
      <c r="K56" s="6"/>
    </row>
    <row r="57" spans="2:11" ht="25.5">
      <c r="B57" s="1" t="s">
        <v>93</v>
      </c>
      <c r="C57" s="3" t="s">
        <v>94</v>
      </c>
      <c r="D57" s="3"/>
      <c r="E57" s="3"/>
      <c r="F57" s="1"/>
      <c r="G57" s="1"/>
      <c r="H57" s="1"/>
      <c r="I57" s="1"/>
      <c r="J57" s="30"/>
      <c r="K57" s="6"/>
    </row>
    <row r="58" spans="2:11" ht="12.75">
      <c r="B58" s="1"/>
      <c r="C58" s="4" t="s">
        <v>60</v>
      </c>
      <c r="D58" s="4"/>
      <c r="E58" s="4"/>
      <c r="F58" s="2"/>
      <c r="G58" s="2"/>
      <c r="H58" s="2"/>
      <c r="I58" s="2"/>
      <c r="J58" s="31"/>
      <c r="K58" s="6"/>
    </row>
    <row r="59" spans="2:11" ht="38.25">
      <c r="B59" s="1" t="s">
        <v>95</v>
      </c>
      <c r="C59" s="4" t="s">
        <v>481</v>
      </c>
      <c r="D59" s="4"/>
      <c r="E59" s="4"/>
      <c r="F59" s="2"/>
      <c r="G59" s="2"/>
      <c r="H59" s="2"/>
      <c r="I59" s="1"/>
      <c r="J59" s="1"/>
      <c r="K59" s="7"/>
    </row>
    <row r="60" spans="2:11" ht="25.5">
      <c r="B60" s="1" t="s">
        <v>96</v>
      </c>
      <c r="C60" s="3" t="s">
        <v>352</v>
      </c>
      <c r="D60" s="3" t="s">
        <v>51</v>
      </c>
      <c r="E60" s="3"/>
      <c r="F60" s="1"/>
      <c r="G60" s="1"/>
      <c r="H60" s="1"/>
      <c r="I60" s="1"/>
      <c r="J60" s="30"/>
      <c r="K60" s="7"/>
    </row>
    <row r="61" spans="2:11" ht="25.5">
      <c r="B61" s="1" t="s">
        <v>98</v>
      </c>
      <c r="C61" s="3" t="s">
        <v>99</v>
      </c>
      <c r="D61" s="3" t="s">
        <v>53</v>
      </c>
      <c r="E61" s="3"/>
      <c r="F61" s="1"/>
      <c r="G61" s="1"/>
      <c r="H61" s="1"/>
      <c r="I61" s="1"/>
      <c r="J61" s="30"/>
      <c r="K61" s="7"/>
    </row>
    <row r="62" spans="2:11" ht="25.5">
      <c r="B62" s="1" t="s">
        <v>100</v>
      </c>
      <c r="C62" s="3" t="s">
        <v>185</v>
      </c>
      <c r="D62" s="3" t="s">
        <v>536</v>
      </c>
      <c r="E62" s="3"/>
      <c r="F62" s="1"/>
      <c r="G62" s="1"/>
      <c r="H62" s="1"/>
      <c r="I62" s="1"/>
      <c r="J62" s="30"/>
      <c r="K62" s="7"/>
    </row>
    <row r="63" spans="2:11" ht="25.5">
      <c r="B63" s="1" t="s">
        <v>102</v>
      </c>
      <c r="C63" s="3" t="s">
        <v>158</v>
      </c>
      <c r="D63" s="3"/>
      <c r="E63" s="3"/>
      <c r="F63" s="1"/>
      <c r="G63" s="1"/>
      <c r="H63" s="1"/>
      <c r="I63" s="1"/>
      <c r="J63" s="30"/>
      <c r="K63" s="7"/>
    </row>
    <row r="64" spans="2:11" ht="38.25">
      <c r="B64" s="1" t="s">
        <v>104</v>
      </c>
      <c r="C64" s="4" t="s">
        <v>351</v>
      </c>
      <c r="D64" s="3" t="s">
        <v>71</v>
      </c>
      <c r="E64" s="3"/>
      <c r="F64" s="1"/>
      <c r="G64" s="1"/>
      <c r="H64" s="1"/>
      <c r="I64" s="1"/>
      <c r="J64" s="30"/>
      <c r="K64" s="7"/>
    </row>
    <row r="65" spans="2:11" ht="51">
      <c r="B65" s="1" t="s">
        <v>105</v>
      </c>
      <c r="C65" s="3" t="s">
        <v>106</v>
      </c>
      <c r="D65" s="3" t="s">
        <v>107</v>
      </c>
      <c r="E65" s="3"/>
      <c r="F65" s="1"/>
      <c r="G65" s="1"/>
      <c r="H65" s="1"/>
      <c r="I65" s="1"/>
      <c r="J65" s="30"/>
      <c r="K65" s="7"/>
    </row>
    <row r="66" spans="2:11" ht="12.75">
      <c r="B66" s="1"/>
      <c r="C66" s="4" t="s">
        <v>60</v>
      </c>
      <c r="D66" s="4"/>
      <c r="E66" s="4"/>
      <c r="F66" s="2"/>
      <c r="G66" s="2"/>
      <c r="H66" s="2"/>
      <c r="I66" s="2"/>
      <c r="J66" s="31"/>
      <c r="K66" s="6"/>
    </row>
    <row r="67" spans="2:11" ht="12.75">
      <c r="B67" s="1" t="s">
        <v>109</v>
      </c>
      <c r="C67" s="4" t="s">
        <v>482</v>
      </c>
      <c r="D67" s="4"/>
      <c r="E67" s="4"/>
      <c r="F67" s="2"/>
      <c r="G67" s="2"/>
      <c r="H67" s="2"/>
      <c r="I67" s="1"/>
      <c r="J67" s="1"/>
      <c r="K67" s="7"/>
    </row>
    <row r="68" spans="2:11" ht="51">
      <c r="B68" s="1" t="s">
        <v>110</v>
      </c>
      <c r="C68" s="3" t="s">
        <v>483</v>
      </c>
      <c r="D68" s="3" t="s">
        <v>111</v>
      </c>
      <c r="E68" s="3"/>
      <c r="F68" s="1"/>
      <c r="G68" s="1"/>
      <c r="H68" s="1"/>
      <c r="I68" s="1"/>
      <c r="J68" s="30"/>
      <c r="K68" s="7"/>
    </row>
    <row r="69" spans="2:11" ht="25.5">
      <c r="B69" s="1"/>
      <c r="C69" s="3"/>
      <c r="D69" s="3" t="s">
        <v>53</v>
      </c>
      <c r="E69" s="3"/>
      <c r="F69" s="1"/>
      <c r="G69" s="1"/>
      <c r="H69" s="1"/>
      <c r="I69" s="1"/>
      <c r="J69" s="30"/>
      <c r="K69" s="7"/>
    </row>
    <row r="70" spans="2:11" ht="12.75">
      <c r="B70" s="1"/>
      <c r="C70" s="3"/>
      <c r="D70" s="3" t="s">
        <v>536</v>
      </c>
      <c r="E70" s="3"/>
      <c r="F70" s="1"/>
      <c r="G70" s="1"/>
      <c r="H70" s="1"/>
      <c r="I70" s="1"/>
      <c r="J70" s="30"/>
      <c r="K70" s="7"/>
    </row>
    <row r="71" spans="2:11" ht="25.5">
      <c r="B71" s="1"/>
      <c r="C71" s="3"/>
      <c r="D71" s="3" t="s">
        <v>112</v>
      </c>
      <c r="E71" s="3"/>
      <c r="F71" s="1"/>
      <c r="G71" s="1"/>
      <c r="H71" s="1"/>
      <c r="I71" s="1"/>
      <c r="J71" s="30"/>
      <c r="K71" s="7"/>
    </row>
    <row r="72" spans="2:11" ht="12.75">
      <c r="B72" s="1"/>
      <c r="C72" s="3"/>
      <c r="D72" s="3"/>
      <c r="E72" s="3"/>
      <c r="F72" s="1"/>
      <c r="G72" s="1"/>
      <c r="H72" s="1"/>
      <c r="I72" s="1"/>
      <c r="J72" s="30"/>
      <c r="K72" s="7"/>
    </row>
    <row r="73" spans="2:11" ht="12.75">
      <c r="B73" s="1"/>
      <c r="C73" s="4" t="s">
        <v>60</v>
      </c>
      <c r="D73" s="4"/>
      <c r="E73" s="4"/>
      <c r="F73" s="2"/>
      <c r="G73" s="2"/>
      <c r="H73" s="2"/>
      <c r="I73" s="2"/>
      <c r="J73" s="31"/>
      <c r="K73" s="6"/>
    </row>
    <row r="74" spans="2:11" ht="12.75">
      <c r="B74" s="1" t="s">
        <v>113</v>
      </c>
      <c r="C74" s="4" t="s">
        <v>484</v>
      </c>
      <c r="D74" s="4"/>
      <c r="E74" s="4"/>
      <c r="F74" s="2"/>
      <c r="G74" s="2"/>
      <c r="H74" s="2"/>
      <c r="I74" s="2"/>
      <c r="J74" s="31"/>
      <c r="K74" s="6"/>
    </row>
    <row r="75" spans="2:11" ht="12.75">
      <c r="B75" s="1"/>
      <c r="C75" s="3" t="s">
        <v>114</v>
      </c>
      <c r="D75" s="3"/>
      <c r="E75" s="3"/>
      <c r="F75" s="1"/>
      <c r="G75" s="1"/>
      <c r="H75" s="1"/>
      <c r="I75" s="1"/>
      <c r="J75" s="30"/>
      <c r="K75" s="7"/>
    </row>
    <row r="76" spans="2:11" ht="12.75">
      <c r="B76" s="1"/>
      <c r="C76" s="3" t="s">
        <v>115</v>
      </c>
      <c r="D76" s="3"/>
      <c r="E76" s="3"/>
      <c r="F76" s="1"/>
      <c r="G76" s="1"/>
      <c r="H76" s="1"/>
      <c r="I76" s="1"/>
      <c r="J76" s="30"/>
      <c r="K76" s="7"/>
    </row>
    <row r="77" spans="2:11" ht="12.75">
      <c r="B77" s="1" t="s">
        <v>116</v>
      </c>
      <c r="C77" s="3" t="s">
        <v>485</v>
      </c>
      <c r="D77" s="3"/>
      <c r="E77" s="3"/>
      <c r="F77" s="1"/>
      <c r="G77" s="1"/>
      <c r="H77" s="1"/>
      <c r="I77" s="1"/>
      <c r="J77" s="1"/>
      <c r="K77" s="7"/>
    </row>
    <row r="78" spans="2:11" ht="12.75">
      <c r="B78" s="1"/>
      <c r="C78" s="3"/>
      <c r="D78" s="3"/>
      <c r="E78" s="3"/>
      <c r="F78" s="1"/>
      <c r="G78" s="1"/>
      <c r="H78" s="1"/>
      <c r="I78" s="1"/>
      <c r="J78" s="1"/>
      <c r="K78" s="7"/>
    </row>
    <row r="79" spans="2:11" ht="12.75">
      <c r="B79" s="2" t="s">
        <v>117</v>
      </c>
      <c r="C79" s="4"/>
      <c r="D79" s="4"/>
      <c r="E79" s="4"/>
      <c r="F79" s="2"/>
      <c r="G79" s="2"/>
      <c r="H79" s="2"/>
      <c r="I79" s="2"/>
      <c r="J79" s="31"/>
      <c r="K79" s="6"/>
    </row>
    <row r="80" spans="2:11" ht="12.75">
      <c r="B80" s="1"/>
      <c r="C80" s="3" t="s">
        <v>118</v>
      </c>
      <c r="D80" s="3"/>
      <c r="E80" s="3"/>
      <c r="F80" s="1"/>
      <c r="G80" s="1"/>
      <c r="H80" s="1"/>
      <c r="I80" s="1"/>
      <c r="J80" s="30"/>
      <c r="K80" s="7"/>
    </row>
    <row r="81" spans="2:11" ht="25.5">
      <c r="B81" s="1"/>
      <c r="C81" s="3" t="s">
        <v>119</v>
      </c>
      <c r="D81" s="3"/>
      <c r="E81" s="3"/>
      <c r="F81" s="1"/>
      <c r="G81" s="1"/>
      <c r="H81" s="1"/>
      <c r="I81" s="1"/>
      <c r="J81" s="30"/>
      <c r="K81" s="7"/>
    </row>
    <row r="82" spans="2:11" ht="12.75">
      <c r="B82" s="2" t="s">
        <v>590</v>
      </c>
      <c r="C82" s="4"/>
      <c r="D82" s="4"/>
      <c r="E82" s="4"/>
      <c r="F82" s="2"/>
      <c r="G82" s="2"/>
      <c r="H82" s="2"/>
      <c r="I82" s="2"/>
      <c r="J82" s="31"/>
      <c r="K82" s="6"/>
    </row>
    <row r="83" spans="2:11" ht="12.75">
      <c r="B83" s="1" t="s">
        <v>120</v>
      </c>
      <c r="C83" s="3"/>
      <c r="D83" s="3"/>
      <c r="E83" s="3"/>
      <c r="F83" s="1"/>
      <c r="G83" s="1"/>
      <c r="H83" s="1"/>
      <c r="I83" s="1"/>
      <c r="J83" s="30"/>
      <c r="K83" s="7"/>
    </row>
    <row r="84" spans="2:11" ht="25.5">
      <c r="B84" s="1"/>
      <c r="C84" s="4" t="s">
        <v>121</v>
      </c>
      <c r="D84" s="4"/>
      <c r="E84" s="4"/>
      <c r="F84" s="2"/>
      <c r="G84" s="2"/>
      <c r="H84" s="2"/>
      <c r="I84" s="2"/>
      <c r="J84" s="31"/>
      <c r="K84" s="6"/>
    </row>
    <row r="85" spans="2:11" ht="12.75">
      <c r="B85" s="1"/>
      <c r="C85" s="3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 t="s">
        <v>514</v>
      </c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 t="s">
        <v>368</v>
      </c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 t="s">
        <v>369</v>
      </c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 t="s">
        <v>370</v>
      </c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 t="s">
        <v>371</v>
      </c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 t="s">
        <v>372</v>
      </c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 t="s">
        <v>369</v>
      </c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 t="s">
        <v>370</v>
      </c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 t="s">
        <v>371</v>
      </c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 t="s">
        <v>374</v>
      </c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</sheetData>
  <mergeCells count="12">
    <mergeCell ref="K13:K17"/>
    <mergeCell ref="F13:F17"/>
    <mergeCell ref="G13:H13"/>
    <mergeCell ref="I13:J13"/>
    <mergeCell ref="G14:G17"/>
    <mergeCell ref="H14:H17"/>
    <mergeCell ref="I14:I17"/>
    <mergeCell ref="J14:J17"/>
    <mergeCell ref="B13:B17"/>
    <mergeCell ref="C13:C17"/>
    <mergeCell ref="D13:D17"/>
    <mergeCell ref="E13:E17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4:R98"/>
  <sheetViews>
    <sheetView workbookViewId="0" topLeftCell="A4">
      <pane xSplit="1" ySplit="14" topLeftCell="B56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Q63" sqref="Q63"/>
    </sheetView>
  </sheetViews>
  <sheetFormatPr defaultColWidth="9.140625" defaultRowHeight="12.75"/>
  <cols>
    <col min="2" max="2" width="11.421875" style="0" customWidth="1"/>
    <col min="3" max="3" width="35.421875" style="0" customWidth="1"/>
    <col min="4" max="4" width="16.28125" style="0" customWidth="1"/>
    <col min="5" max="5" width="12.00390625" style="0" hidden="1" customWidth="1"/>
    <col min="6" max="6" width="16.140625" style="0" hidden="1" customWidth="1"/>
    <col min="7" max="7" width="12.421875" style="0" hidden="1" customWidth="1"/>
    <col min="8" max="8" width="18.00390625" style="0" hidden="1" customWidth="1"/>
    <col min="9" max="9" width="12.57421875" style="0" hidden="1" customWidth="1"/>
    <col min="10" max="10" width="13.00390625" style="0" customWidth="1"/>
    <col min="11" max="12" width="12.00390625" style="0" hidden="1" customWidth="1"/>
    <col min="13" max="13" width="11.140625" style="0" customWidth="1"/>
    <col min="14" max="14" width="11.00390625" style="0" customWidth="1"/>
  </cols>
  <sheetData>
    <row r="4" spans="2:3" ht="12.75">
      <c r="B4" t="s">
        <v>487</v>
      </c>
      <c r="C4" s="5" t="s">
        <v>19</v>
      </c>
    </row>
    <row r="5" spans="2:3" ht="12.75">
      <c r="B5" t="s">
        <v>488</v>
      </c>
      <c r="C5">
        <v>3867.3</v>
      </c>
    </row>
    <row r="6" spans="2:3" ht="12.75">
      <c r="B6" t="s">
        <v>489</v>
      </c>
      <c r="C6">
        <v>2446</v>
      </c>
    </row>
    <row r="7" spans="2:3" ht="12.75">
      <c r="B7" t="s">
        <v>490</v>
      </c>
      <c r="C7">
        <v>1764</v>
      </c>
    </row>
    <row r="8" spans="2:3" ht="12.75">
      <c r="B8" t="s">
        <v>491</v>
      </c>
      <c r="C8">
        <v>728.7</v>
      </c>
    </row>
    <row r="9" spans="2:3" ht="12.75">
      <c r="B9" t="s">
        <v>493</v>
      </c>
      <c r="C9">
        <v>72</v>
      </c>
    </row>
    <row r="10" spans="2:3" ht="12.75">
      <c r="B10" t="s">
        <v>494</v>
      </c>
      <c r="C10">
        <v>9</v>
      </c>
    </row>
    <row r="11" spans="2:3" ht="12.75">
      <c r="B11" t="s">
        <v>484</v>
      </c>
      <c r="C11">
        <v>1</v>
      </c>
    </row>
    <row r="12" spans="2:3" ht="12.75">
      <c r="B12" t="s">
        <v>547</v>
      </c>
      <c r="C12">
        <v>2</v>
      </c>
    </row>
    <row r="13" spans="2:14" ht="12.75">
      <c r="B13" s="74" t="s">
        <v>40</v>
      </c>
      <c r="C13" s="74" t="s">
        <v>22</v>
      </c>
      <c r="D13" s="74" t="s">
        <v>41</v>
      </c>
      <c r="E13" s="74" t="s">
        <v>42</v>
      </c>
      <c r="F13" s="74" t="s">
        <v>43</v>
      </c>
      <c r="G13" s="74" t="s">
        <v>44</v>
      </c>
      <c r="H13" s="74"/>
      <c r="I13" s="79" t="s">
        <v>123</v>
      </c>
      <c r="J13" s="79"/>
      <c r="K13" s="74" t="s">
        <v>131</v>
      </c>
      <c r="L13" s="74"/>
      <c r="M13" s="74"/>
      <c r="N13" s="74"/>
    </row>
    <row r="14" spans="2:14" ht="12.75">
      <c r="B14" s="74"/>
      <c r="C14" s="74"/>
      <c r="D14" s="74"/>
      <c r="E14" s="74"/>
      <c r="F14" s="74"/>
      <c r="G14" s="74" t="s">
        <v>122</v>
      </c>
      <c r="H14" s="74" t="s">
        <v>45</v>
      </c>
      <c r="I14" s="74" t="s">
        <v>124</v>
      </c>
      <c r="J14" s="74" t="s">
        <v>125</v>
      </c>
      <c r="K14" s="74" t="s">
        <v>132</v>
      </c>
      <c r="L14" s="81" t="s">
        <v>172</v>
      </c>
      <c r="M14" s="81" t="s">
        <v>222</v>
      </c>
      <c r="N14" s="81" t="s">
        <v>305</v>
      </c>
    </row>
    <row r="15" spans="2:14" ht="12.7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81"/>
      <c r="M15" s="81"/>
      <c r="N15" s="81"/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4" t="s">
        <v>46</v>
      </c>
      <c r="D21" s="2"/>
      <c r="E21" s="2">
        <v>141634.46</v>
      </c>
      <c r="F21" s="2"/>
      <c r="G21" s="2">
        <v>98901.86</v>
      </c>
      <c r="H21" s="2">
        <v>42732.6</v>
      </c>
      <c r="I21" s="1"/>
      <c r="J21" s="1"/>
      <c r="K21" s="1"/>
      <c r="L21" s="1"/>
      <c r="M21" s="1"/>
      <c r="N21" s="1"/>
    </row>
    <row r="22" spans="2:14" ht="12.75">
      <c r="B22" s="1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 t="s">
        <v>47</v>
      </c>
      <c r="C23" s="4" t="s">
        <v>23</v>
      </c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</row>
    <row r="24" spans="2:14" ht="25.5">
      <c r="B24" s="1" t="s">
        <v>48</v>
      </c>
      <c r="C24" s="4" t="s">
        <v>24</v>
      </c>
      <c r="D24" s="2"/>
      <c r="E24" s="2">
        <v>17784</v>
      </c>
      <c r="F24" s="2"/>
      <c r="G24" s="2">
        <v>10809.7</v>
      </c>
      <c r="H24" s="2">
        <v>6974.3</v>
      </c>
      <c r="I24" s="1"/>
      <c r="J24" s="1"/>
      <c r="K24" s="1"/>
      <c r="L24" s="1"/>
      <c r="M24" s="1"/>
      <c r="N24" s="1"/>
    </row>
    <row r="25" spans="2:14" ht="25.5">
      <c r="B25" s="1" t="s">
        <v>49</v>
      </c>
      <c r="C25" s="3" t="s">
        <v>25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8" ht="25.5">
      <c r="B26" s="1" t="s">
        <v>50</v>
      </c>
      <c r="C26" s="3" t="s">
        <v>26</v>
      </c>
      <c r="D26" s="1" t="s">
        <v>51</v>
      </c>
      <c r="E26" s="1"/>
      <c r="F26" s="1">
        <v>2343012.48</v>
      </c>
      <c r="G26" s="1">
        <v>1045514.2</v>
      </c>
      <c r="H26" s="1">
        <v>1297498.3</v>
      </c>
      <c r="I26" s="1">
        <f>H26/H24*C8</f>
        <v>135567.2986837389</v>
      </c>
      <c r="J26" s="30">
        <f>I26/C5/12</f>
        <v>2.921230545939434</v>
      </c>
      <c r="K26" s="42">
        <f>J26*C5*3</f>
        <v>33891.82467093472</v>
      </c>
      <c r="L26" s="7">
        <f>J26*C5*6</f>
        <v>67783.64934186944</v>
      </c>
      <c r="M26" s="7">
        <f>J26*C5*9</f>
        <v>101675.47401280416</v>
      </c>
      <c r="N26" s="7">
        <f>J26*C5*12</f>
        <v>135567.2986837389</v>
      </c>
      <c r="R26" t="s">
        <v>143</v>
      </c>
    </row>
    <row r="27" spans="2:14" ht="25.5">
      <c r="B27" s="1" t="s">
        <v>52</v>
      </c>
      <c r="C27" s="3" t="s">
        <v>27</v>
      </c>
      <c r="D27" s="1" t="s">
        <v>53</v>
      </c>
      <c r="E27" s="1"/>
      <c r="F27" s="1">
        <v>796624.2</v>
      </c>
      <c r="G27" s="1">
        <v>355474.8</v>
      </c>
      <c r="H27" s="1">
        <v>441149.4</v>
      </c>
      <c r="I27" s="1">
        <f>H27/H24*C8</f>
        <v>46092.87925383193</v>
      </c>
      <c r="J27" s="30">
        <f>I27/C5/12</f>
        <v>0.9932183360878807</v>
      </c>
      <c r="K27" s="42">
        <f>J27*C5*3</f>
        <v>11523.219813457983</v>
      </c>
      <c r="L27" s="7">
        <f>J27*C5*6</f>
        <v>23046.439626915966</v>
      </c>
      <c r="M27" s="7">
        <f>J27*C5*9</f>
        <v>34569.65944037395</v>
      </c>
      <c r="N27" s="7">
        <f>J27*C5*12</f>
        <v>46092.87925383193</v>
      </c>
    </row>
    <row r="28" spans="2:14" ht="12.75">
      <c r="B28" s="1" t="s">
        <v>54</v>
      </c>
      <c r="C28" s="3" t="s">
        <v>28</v>
      </c>
      <c r="D28" s="1" t="s">
        <v>536</v>
      </c>
      <c r="E28" s="1"/>
      <c r="F28" s="1">
        <v>116909.87</v>
      </c>
      <c r="G28" s="1">
        <v>71061.7</v>
      </c>
      <c r="H28" s="1">
        <v>45848.2</v>
      </c>
      <c r="I28" s="1">
        <f>H28/H24*C8</f>
        <v>4790.385177007011</v>
      </c>
      <c r="J28" s="30">
        <f>I28/C5/12</f>
        <v>0.10322415244500925</v>
      </c>
      <c r="K28" s="42">
        <f>J28*C5*3</f>
        <v>1197.5962942517529</v>
      </c>
      <c r="L28" s="7">
        <f>J28*C5*6</f>
        <v>2395.1925885035057</v>
      </c>
      <c r="M28" s="7">
        <f>J28*C5*9</f>
        <v>3592.788882755259</v>
      </c>
      <c r="N28" s="7">
        <f>J28*C5*12</f>
        <v>4790.385177007011</v>
      </c>
    </row>
    <row r="29" spans="2:14" ht="12.75">
      <c r="B29" s="1" t="s">
        <v>55</v>
      </c>
      <c r="C29" s="3" t="s">
        <v>29</v>
      </c>
      <c r="D29" s="1"/>
      <c r="E29" s="1">
        <v>15</v>
      </c>
      <c r="F29" s="1"/>
      <c r="G29" s="1"/>
      <c r="H29" s="1"/>
      <c r="I29" s="1"/>
      <c r="J29" s="1"/>
      <c r="K29" s="42"/>
      <c r="L29" s="7"/>
      <c r="M29" s="7"/>
      <c r="N29" s="7"/>
    </row>
    <row r="30" spans="2:14" ht="25.5">
      <c r="B30" s="1" t="s">
        <v>56</v>
      </c>
      <c r="C30" s="3" t="s">
        <v>57</v>
      </c>
      <c r="D30" s="3" t="s">
        <v>58</v>
      </c>
      <c r="E30" s="1"/>
      <c r="F30" s="1">
        <v>674</v>
      </c>
      <c r="G30" s="1"/>
      <c r="H30" s="1">
        <v>674</v>
      </c>
      <c r="I30" s="1">
        <f>H30/H24*C8</f>
        <v>70.42194915618772</v>
      </c>
      <c r="J30" s="30">
        <f>I30/C5/12</f>
        <v>0.001517465871025171</v>
      </c>
      <c r="K30" s="42">
        <f>J30*C5*3</f>
        <v>17.60548728904693</v>
      </c>
      <c r="L30" s="7">
        <f>J30*C5*6</f>
        <v>35.21097457809386</v>
      </c>
      <c r="M30" s="7">
        <f>J30*C5*9</f>
        <v>52.816461867140795</v>
      </c>
      <c r="N30" s="7">
        <f>J30*C5*12</f>
        <v>70.42194915618772</v>
      </c>
    </row>
    <row r="31" spans="2:14" ht="38.25">
      <c r="B31" s="1" t="s">
        <v>59</v>
      </c>
      <c r="C31" s="3" t="s">
        <v>30</v>
      </c>
      <c r="D31" s="1"/>
      <c r="E31" s="1"/>
      <c r="F31" s="1"/>
      <c r="G31" s="1"/>
      <c r="H31" s="1"/>
      <c r="I31" s="1"/>
      <c r="J31" s="1"/>
      <c r="K31" s="42"/>
      <c r="L31" s="7"/>
      <c r="M31" s="7"/>
      <c r="N31" s="7"/>
    </row>
    <row r="32" spans="2:14" ht="12.75">
      <c r="B32" s="1"/>
      <c r="C32" s="4" t="s">
        <v>60</v>
      </c>
      <c r="D32" s="2"/>
      <c r="E32" s="2"/>
      <c r="F32" s="2">
        <v>3257220.6</v>
      </c>
      <c r="G32" s="2">
        <v>1472050.7</v>
      </c>
      <c r="H32" s="2">
        <v>1785169.9</v>
      </c>
      <c r="I32" s="2">
        <f aca="true" t="shared" si="0" ref="I32:N32">SUM(I26:I31)</f>
        <v>186520.985063734</v>
      </c>
      <c r="J32" s="31">
        <f t="shared" si="0"/>
        <v>4.019190500343349</v>
      </c>
      <c r="K32" s="43">
        <f t="shared" si="0"/>
        <v>46630.2462659335</v>
      </c>
      <c r="L32" s="6">
        <f t="shared" si="0"/>
        <v>93260.492531867</v>
      </c>
      <c r="M32" s="6">
        <f t="shared" si="0"/>
        <v>139890.7387978005</v>
      </c>
      <c r="N32" s="6">
        <f t="shared" si="0"/>
        <v>186520.985063734</v>
      </c>
    </row>
    <row r="33" spans="2:14" ht="38.25">
      <c r="B33" s="1" t="s">
        <v>61</v>
      </c>
      <c r="C33" s="4" t="s">
        <v>31</v>
      </c>
      <c r="D33" s="2"/>
      <c r="E33" s="2">
        <v>111234.9</v>
      </c>
      <c r="F33" s="2"/>
      <c r="G33" s="2">
        <v>78376.2</v>
      </c>
      <c r="H33" s="2">
        <v>32858.7</v>
      </c>
      <c r="I33" s="1"/>
      <c r="J33" s="1"/>
      <c r="K33" s="1"/>
      <c r="L33" s="7"/>
      <c r="M33" s="7"/>
      <c r="N33" s="7"/>
    </row>
    <row r="34" spans="2:14" ht="25.5">
      <c r="B34" s="1" t="s">
        <v>62</v>
      </c>
      <c r="C34" s="3" t="s">
        <v>32</v>
      </c>
      <c r="D34" s="1" t="s">
        <v>51</v>
      </c>
      <c r="E34" s="1"/>
      <c r="F34" s="1">
        <v>815719.552</v>
      </c>
      <c r="G34" s="1">
        <v>574756.7</v>
      </c>
      <c r="H34" s="1">
        <v>240962.9</v>
      </c>
      <c r="I34" s="1">
        <f>H34/H33*(C6+C7)</f>
        <v>30873.218021406814</v>
      </c>
      <c r="J34" s="30">
        <f>I34/C5/12</f>
        <v>0.6652621127015147</v>
      </c>
      <c r="K34" s="42">
        <f>J34*C5*3</f>
        <v>7718.3045053517035</v>
      </c>
      <c r="L34" s="7">
        <f>J34*C5*6</f>
        <v>15436.609010703407</v>
      </c>
      <c r="M34" s="7">
        <f>J34*C5*9</f>
        <v>23154.91351605511</v>
      </c>
      <c r="N34" s="7">
        <f>J34*C5*12</f>
        <v>30873.218021406814</v>
      </c>
    </row>
    <row r="35" spans="2:14" ht="12.75">
      <c r="B35" s="1" t="s">
        <v>63</v>
      </c>
      <c r="C35" s="3" t="s">
        <v>311</v>
      </c>
      <c r="D35" s="1" t="s">
        <v>53</v>
      </c>
      <c r="E35" s="1"/>
      <c r="F35" s="1">
        <v>277344.6</v>
      </c>
      <c r="G35" s="1">
        <v>195417.3</v>
      </c>
      <c r="H35" s="1">
        <v>81927.4</v>
      </c>
      <c r="I35" s="1">
        <f>H35/H33*(C6+C7)</f>
        <v>10496.895921019395</v>
      </c>
      <c r="J35" s="30">
        <f>I35/C5/12</f>
        <v>0.226189156970397</v>
      </c>
      <c r="K35" s="42">
        <f>J35*C5*3</f>
        <v>2624.223980254849</v>
      </c>
      <c r="L35" s="7">
        <f>J35*C5*6</f>
        <v>5248.447960509698</v>
      </c>
      <c r="M35" s="7">
        <f>J35*C5*9</f>
        <v>7872.671940764547</v>
      </c>
      <c r="N35" s="7">
        <f>J35*C5*12</f>
        <v>10496.895921019395</v>
      </c>
    </row>
    <row r="36" spans="2:14" ht="12.75">
      <c r="B36" s="1" t="s">
        <v>65</v>
      </c>
      <c r="C36" s="3" t="s">
        <v>66</v>
      </c>
      <c r="D36" s="1" t="s">
        <v>536</v>
      </c>
      <c r="E36" s="1"/>
      <c r="F36" s="1">
        <v>115582.34</v>
      </c>
      <c r="G36" s="1">
        <v>81439.4</v>
      </c>
      <c r="H36" s="1">
        <v>34142.9</v>
      </c>
      <c r="I36" s="1">
        <f>H36/H33*(C6+C7)</f>
        <v>4374.537306710248</v>
      </c>
      <c r="J36" s="30">
        <f>I36/C5/12</f>
        <v>0.09426338157349762</v>
      </c>
      <c r="K36" s="42">
        <f>J36*C5*3</f>
        <v>1093.634326677562</v>
      </c>
      <c r="L36" s="7">
        <f>J36*C5*6</f>
        <v>2187.268653355124</v>
      </c>
      <c r="M36" s="7">
        <f>J36*C5*9</f>
        <v>3280.902980032686</v>
      </c>
      <c r="N36" s="7">
        <f>J36*C5*12</f>
        <v>4374.537306710248</v>
      </c>
    </row>
    <row r="37" spans="2:14" ht="25.5">
      <c r="B37" s="1" t="s">
        <v>67</v>
      </c>
      <c r="C37" s="3" t="s">
        <v>34</v>
      </c>
      <c r="D37" s="1" t="s">
        <v>68</v>
      </c>
      <c r="E37" s="1"/>
      <c r="F37" s="1">
        <v>55220.9</v>
      </c>
      <c r="G37" s="1">
        <v>38908.7</v>
      </c>
      <c r="H37" s="1">
        <v>16312.2</v>
      </c>
      <c r="I37" s="1">
        <f>H37/H33*(C6+C7)</f>
        <v>2089.9902308977535</v>
      </c>
      <c r="J37" s="30">
        <f>I37/C5/12</f>
        <v>0.045035516400282576</v>
      </c>
      <c r="K37" s="42">
        <f>J37*C5*3</f>
        <v>522.4975577244385</v>
      </c>
      <c r="L37" s="7">
        <f>J37*C5*6</f>
        <v>1044.995115448877</v>
      </c>
      <c r="M37" s="7">
        <f>J37*C5*9</f>
        <v>1567.4926731733153</v>
      </c>
      <c r="N37" s="7">
        <f>J37*C5*12</f>
        <v>2089.990230897754</v>
      </c>
    </row>
    <row r="38" spans="2:14" ht="25.5">
      <c r="B38" s="1" t="s">
        <v>69</v>
      </c>
      <c r="C38" s="3" t="s">
        <v>35</v>
      </c>
      <c r="D38" s="1"/>
      <c r="E38" s="1"/>
      <c r="F38" s="1"/>
      <c r="G38" s="1"/>
      <c r="H38" s="1"/>
      <c r="I38" s="1"/>
      <c r="J38" s="30"/>
      <c r="K38" s="42"/>
      <c r="L38" s="7"/>
      <c r="M38" s="7"/>
      <c r="N38" s="7"/>
    </row>
    <row r="39" spans="2:14" ht="12.75">
      <c r="B39" s="1" t="s">
        <v>70</v>
      </c>
      <c r="C39" s="3" t="s">
        <v>36</v>
      </c>
      <c r="D39" s="1" t="s">
        <v>71</v>
      </c>
      <c r="E39" s="1"/>
      <c r="F39" s="1"/>
      <c r="G39" s="1"/>
      <c r="H39" s="1"/>
      <c r="I39" s="1"/>
      <c r="J39" s="30"/>
      <c r="K39" s="42"/>
      <c r="L39" s="7"/>
      <c r="M39" s="7"/>
      <c r="N39" s="7"/>
    </row>
    <row r="40" spans="2:14" ht="12.75">
      <c r="B40" s="1" t="s">
        <v>72</v>
      </c>
      <c r="C40" s="3" t="s">
        <v>73</v>
      </c>
      <c r="D40" s="1"/>
      <c r="E40" s="1"/>
      <c r="F40" s="1">
        <v>30500</v>
      </c>
      <c r="G40" s="1">
        <v>21297.8</v>
      </c>
      <c r="H40" s="1">
        <v>9202.2</v>
      </c>
      <c r="I40" s="1">
        <f>H40/H21*C5</f>
        <v>832.7990353968634</v>
      </c>
      <c r="J40" s="30">
        <f>I40/C5/12</f>
        <v>0.017945315754248514</v>
      </c>
      <c r="K40" s="42">
        <f>J40*C5*3</f>
        <v>208.19975884921587</v>
      </c>
      <c r="L40" s="7">
        <f>J40*C5*6</f>
        <v>416.39951769843174</v>
      </c>
      <c r="M40" s="7">
        <f>J40*C5*9</f>
        <v>624.5992765476476</v>
      </c>
      <c r="N40" s="7">
        <f>J40*C5*12</f>
        <v>832.7990353968635</v>
      </c>
    </row>
    <row r="41" spans="2:15" ht="12.75">
      <c r="B41" s="1"/>
      <c r="C41" s="4" t="s">
        <v>60</v>
      </c>
      <c r="D41" s="2"/>
      <c r="E41" s="2"/>
      <c r="F41" s="2">
        <v>1294367.4</v>
      </c>
      <c r="G41" s="2">
        <v>911819.85</v>
      </c>
      <c r="H41" s="2">
        <v>382547.6</v>
      </c>
      <c r="I41" s="2">
        <f aca="true" t="shared" si="1" ref="I41:N41">SUM(I34:I40)</f>
        <v>48667.44051543107</v>
      </c>
      <c r="J41" s="31">
        <f t="shared" si="1"/>
        <v>1.0486954833999405</v>
      </c>
      <c r="K41" s="43">
        <f t="shared" si="1"/>
        <v>12166.860128857768</v>
      </c>
      <c r="L41" s="6">
        <f t="shared" si="1"/>
        <v>24333.720257715537</v>
      </c>
      <c r="M41" s="6">
        <f t="shared" si="1"/>
        <v>36500.5803865733</v>
      </c>
      <c r="N41" s="6">
        <f t="shared" si="1"/>
        <v>48667.44051543107</v>
      </c>
      <c r="O41" s="5"/>
    </row>
    <row r="42" spans="2:15" ht="12.75">
      <c r="B42" s="1" t="s">
        <v>74</v>
      </c>
      <c r="C42" s="4" t="s">
        <v>37</v>
      </c>
      <c r="D42" s="2"/>
      <c r="E42" s="2"/>
      <c r="F42" s="2">
        <v>5004925.7</v>
      </c>
      <c r="G42" s="2">
        <v>3548598.7</v>
      </c>
      <c r="H42" s="2">
        <v>1456327</v>
      </c>
      <c r="I42" s="2">
        <f>H42/H21*C5</f>
        <v>131797.58327600008</v>
      </c>
      <c r="J42" s="31">
        <f>I42/C5/12</f>
        <v>2.8399999843991086</v>
      </c>
      <c r="K42" s="43">
        <f>J42*C5*3</f>
        <v>32949.39581900002</v>
      </c>
      <c r="L42" s="6">
        <f>J42*C5*6</f>
        <v>65898.79163800004</v>
      </c>
      <c r="M42" s="6">
        <f>J42*C5*9</f>
        <v>98848.18745700005</v>
      </c>
      <c r="N42" s="6">
        <f>J42*C5*12</f>
        <v>131797.58327600008</v>
      </c>
      <c r="O42" s="5"/>
    </row>
    <row r="43" spans="2:14" ht="38.25">
      <c r="B43" s="1" t="s">
        <v>75</v>
      </c>
      <c r="C43" s="4" t="s">
        <v>38</v>
      </c>
      <c r="D43" s="2"/>
      <c r="E43" s="2">
        <v>141634.46</v>
      </c>
      <c r="F43" s="2"/>
      <c r="G43" s="2">
        <v>98901.86</v>
      </c>
      <c r="H43" s="2">
        <v>42732.6</v>
      </c>
      <c r="I43" s="1"/>
      <c r="J43" s="1"/>
      <c r="K43" s="1"/>
      <c r="L43" s="7"/>
      <c r="M43" s="7"/>
      <c r="N43" s="7"/>
    </row>
    <row r="44" spans="2:14" ht="63.75">
      <c r="B44" s="1" t="s">
        <v>76</v>
      </c>
      <c r="C44" s="3" t="s">
        <v>77</v>
      </c>
      <c r="D44" s="1" t="s">
        <v>51</v>
      </c>
      <c r="E44" s="1"/>
      <c r="F44" s="1">
        <v>558138</v>
      </c>
      <c r="G44" s="1">
        <v>389741.9</v>
      </c>
      <c r="H44" s="1">
        <v>168396.1</v>
      </c>
      <c r="I44" s="1">
        <f>H44/H43*C5</f>
        <v>15239.845867791804</v>
      </c>
      <c r="J44" s="30">
        <f>I44/C5/12</f>
        <v>0.3283911658390394</v>
      </c>
      <c r="K44" s="42">
        <f>J44*C5*3</f>
        <v>3809.9614669479506</v>
      </c>
      <c r="L44" s="7">
        <f>J44*C5*6</f>
        <v>7619.922933895901</v>
      </c>
      <c r="M44" s="7">
        <f>J44*C5*9</f>
        <v>11429.884400843852</v>
      </c>
      <c r="N44" s="7">
        <f>J44*C5*12</f>
        <v>15239.845867791802</v>
      </c>
    </row>
    <row r="45" spans="2:14" ht="63.75">
      <c r="B45" s="1" t="s">
        <v>78</v>
      </c>
      <c r="C45" s="3" t="s">
        <v>426</v>
      </c>
      <c r="D45" s="1" t="s">
        <v>53</v>
      </c>
      <c r="E45" s="1"/>
      <c r="F45" s="1">
        <v>189767</v>
      </c>
      <c r="G45" s="1">
        <v>132512</v>
      </c>
      <c r="H45" s="1">
        <v>57255</v>
      </c>
      <c r="I45" s="1">
        <f>H45/H43*C5</f>
        <v>5181.577098046925</v>
      </c>
      <c r="J45" s="30">
        <f>I45/C5/12</f>
        <v>0.11165363212161207</v>
      </c>
      <c r="K45" s="42">
        <f>J45*C5*3</f>
        <v>1295.394274511731</v>
      </c>
      <c r="L45" s="7">
        <f>J45*C5*6</f>
        <v>2590.788549023462</v>
      </c>
      <c r="M45" s="7">
        <f>J45*C5*9</f>
        <v>3886.182823535193</v>
      </c>
      <c r="N45" s="7">
        <f>J45*C5*12</f>
        <v>5181.577098046924</v>
      </c>
    </row>
    <row r="46" spans="2:14" ht="89.25">
      <c r="B46" s="1" t="s">
        <v>80</v>
      </c>
      <c r="C46" s="29" t="s">
        <v>129</v>
      </c>
      <c r="D46" s="1" t="s">
        <v>536</v>
      </c>
      <c r="E46" s="1"/>
      <c r="F46" s="1">
        <v>111512.16</v>
      </c>
      <c r="G46" s="1">
        <v>77867.8</v>
      </c>
      <c r="H46" s="1">
        <v>33644.4</v>
      </c>
      <c r="I46" s="1">
        <f>H46/H43*C5</f>
        <v>3044.8179638028114</v>
      </c>
      <c r="J46" s="30">
        <f>I46/C5/12</f>
        <v>0.06561033028647918</v>
      </c>
      <c r="K46" s="42">
        <f>J46*C5*3</f>
        <v>761.2044909507028</v>
      </c>
      <c r="L46" s="7">
        <f>J46*C5*6</f>
        <v>1522.4089819014057</v>
      </c>
      <c r="M46" s="7">
        <f>J46*C5*9</f>
        <v>2283.6134728521083</v>
      </c>
      <c r="N46" s="7">
        <f>J46*C5*12</f>
        <v>3044.8179638028114</v>
      </c>
    </row>
    <row r="47" spans="2:14" ht="12.75">
      <c r="B47" s="1"/>
      <c r="C47" s="3"/>
      <c r="D47" s="1"/>
      <c r="E47" s="1"/>
      <c r="F47" s="1"/>
      <c r="G47" s="1"/>
      <c r="H47" s="1"/>
      <c r="I47" s="1"/>
      <c r="J47" s="30"/>
      <c r="K47" s="42"/>
      <c r="L47" s="7"/>
      <c r="M47" s="7"/>
      <c r="N47" s="7"/>
    </row>
    <row r="48" spans="2:14" ht="12.75">
      <c r="B48" s="1"/>
      <c r="C48" s="3"/>
      <c r="D48" s="1" t="s">
        <v>71</v>
      </c>
      <c r="E48" s="1"/>
      <c r="F48" s="1"/>
      <c r="G48" s="1"/>
      <c r="H48" s="1"/>
      <c r="I48" s="1"/>
      <c r="J48" s="30"/>
      <c r="K48" s="42"/>
      <c r="L48" s="7"/>
      <c r="M48" s="7"/>
      <c r="N48" s="7"/>
    </row>
    <row r="49" spans="2:15" ht="12.75">
      <c r="B49" s="1"/>
      <c r="C49" s="4" t="s">
        <v>60</v>
      </c>
      <c r="D49" s="2"/>
      <c r="E49" s="2"/>
      <c r="F49" s="2">
        <v>859417.1</v>
      </c>
      <c r="G49" s="2">
        <v>600121.9</v>
      </c>
      <c r="H49" s="2">
        <v>259295.1</v>
      </c>
      <c r="I49" s="2">
        <f aca="true" t="shared" si="2" ref="I49:N49">SUM(I44:I48)</f>
        <v>23466.240929641543</v>
      </c>
      <c r="J49" s="31">
        <f t="shared" si="2"/>
        <v>0.5056551282471307</v>
      </c>
      <c r="K49" s="43">
        <f t="shared" si="2"/>
        <v>5866.560232410385</v>
      </c>
      <c r="L49" s="6">
        <f t="shared" si="2"/>
        <v>11733.12046482077</v>
      </c>
      <c r="M49" s="6">
        <f t="shared" si="2"/>
        <v>17599.680697231153</v>
      </c>
      <c r="N49" s="6">
        <f t="shared" si="2"/>
        <v>23466.24092964154</v>
      </c>
      <c r="O49" s="5"/>
    </row>
    <row r="50" spans="2:14" ht="38.25">
      <c r="B50" s="1" t="s">
        <v>81</v>
      </c>
      <c r="C50" s="4" t="s">
        <v>39</v>
      </c>
      <c r="D50" s="2"/>
      <c r="E50" s="2">
        <v>141634.46</v>
      </c>
      <c r="F50" s="2"/>
      <c r="G50" s="2">
        <v>98901.86</v>
      </c>
      <c r="H50" s="2">
        <v>42732.6</v>
      </c>
      <c r="I50" s="1"/>
      <c r="J50" s="1"/>
      <c r="K50" s="1"/>
      <c r="L50" s="7"/>
      <c r="M50" s="7"/>
      <c r="N50" s="7"/>
    </row>
    <row r="51" spans="2:14" ht="38.25">
      <c r="B51" s="1" t="s">
        <v>82</v>
      </c>
      <c r="C51" s="4" t="s">
        <v>203</v>
      </c>
      <c r="D51" s="1" t="s">
        <v>51</v>
      </c>
      <c r="E51" s="1"/>
      <c r="F51" s="1">
        <v>667518.8</v>
      </c>
      <c r="G51" s="1">
        <v>466121.4</v>
      </c>
      <c r="H51" s="1">
        <v>201397.4</v>
      </c>
      <c r="I51" s="1">
        <f>H51/H50*C5</f>
        <v>18226.463286109436</v>
      </c>
      <c r="J51" s="30">
        <f>I51/C5/12</f>
        <v>0.3927473794402088</v>
      </c>
      <c r="K51" s="42">
        <f>J51*C5*3</f>
        <v>4556.615821527359</v>
      </c>
      <c r="L51" s="7">
        <f>J51*C5*6</f>
        <v>9113.231643054718</v>
      </c>
      <c r="M51" s="7">
        <f>J51*C5*9</f>
        <v>13669.847464582077</v>
      </c>
      <c r="N51" s="44">
        <f>J51*C5*12</f>
        <v>18226.463286109436</v>
      </c>
    </row>
    <row r="52" spans="2:14" ht="38.25">
      <c r="B52" s="1" t="s">
        <v>84</v>
      </c>
      <c r="C52" s="3" t="s">
        <v>85</v>
      </c>
      <c r="D52" s="1" t="s">
        <v>53</v>
      </c>
      <c r="E52" s="1"/>
      <c r="F52" s="1">
        <v>226956</v>
      </c>
      <c r="G52" s="1">
        <v>158481.3</v>
      </c>
      <c r="H52" s="1">
        <v>68475.1</v>
      </c>
      <c r="I52" s="1">
        <f>H52/H50*C5</f>
        <v>6196.99606927732</v>
      </c>
      <c r="J52" s="30">
        <f>I52/C5/12</f>
        <v>0.1335340778078875</v>
      </c>
      <c r="K52" s="42">
        <f>J52*C5*3</f>
        <v>1549.24901731933</v>
      </c>
      <c r="L52" s="7">
        <f>J52*C5*6</f>
        <v>3098.49803463866</v>
      </c>
      <c r="M52" s="7">
        <f>J52*C5*9</f>
        <v>4647.74705195799</v>
      </c>
      <c r="N52" s="44">
        <f>J52*C5*12</f>
        <v>6196.99606927732</v>
      </c>
    </row>
    <row r="53" spans="2:14" ht="63.75">
      <c r="B53" s="1" t="s">
        <v>86</v>
      </c>
      <c r="C53" s="3" t="s">
        <v>468</v>
      </c>
      <c r="D53" s="1" t="s">
        <v>536</v>
      </c>
      <c r="E53" s="1"/>
      <c r="F53" s="1">
        <v>446048.65</v>
      </c>
      <c r="G53" s="1">
        <v>311471.1</v>
      </c>
      <c r="H53" s="1">
        <v>134577.5</v>
      </c>
      <c r="I53" s="1">
        <f>H53/H50*C5</f>
        <v>12179.262805211947</v>
      </c>
      <c r="J53" s="30">
        <f>I53/C5/12</f>
        <v>0.2624411261347699</v>
      </c>
      <c r="K53" s="42">
        <f>J53*C5*3</f>
        <v>3044.815701302987</v>
      </c>
      <c r="L53" s="7">
        <f>J53*C5*6</f>
        <v>6089.631402605974</v>
      </c>
      <c r="M53" s="7">
        <f>J53*C5*9</f>
        <v>9134.44710390896</v>
      </c>
      <c r="N53" s="44">
        <f>J53*C5*12</f>
        <v>12179.262805211947</v>
      </c>
    </row>
    <row r="54" spans="2:14" ht="38.25">
      <c r="B54" s="1" t="s">
        <v>88</v>
      </c>
      <c r="C54" s="3" t="s">
        <v>130</v>
      </c>
      <c r="D54" s="1"/>
      <c r="E54" s="1"/>
      <c r="F54" s="1"/>
      <c r="G54" s="1"/>
      <c r="H54" s="1"/>
      <c r="I54" s="1"/>
      <c r="J54" s="30"/>
      <c r="K54" s="42"/>
      <c r="L54" s="7"/>
      <c r="M54" s="7"/>
      <c r="N54" s="44"/>
    </row>
    <row r="55" spans="2:14" ht="38.25">
      <c r="B55" s="1" t="s">
        <v>89</v>
      </c>
      <c r="C55" s="3" t="s">
        <v>90</v>
      </c>
      <c r="D55" s="1" t="s">
        <v>71</v>
      </c>
      <c r="E55" s="1"/>
      <c r="F55" s="1"/>
      <c r="G55" s="1"/>
      <c r="H55" s="1"/>
      <c r="I55" s="1"/>
      <c r="J55" s="30"/>
      <c r="K55" s="42"/>
      <c r="L55" s="7"/>
      <c r="M55" s="7"/>
      <c r="N55" s="6"/>
    </row>
    <row r="56" spans="2:14" ht="63.75">
      <c r="B56" s="1" t="s">
        <v>91</v>
      </c>
      <c r="C56" s="3" t="s">
        <v>92</v>
      </c>
      <c r="D56" s="1"/>
      <c r="E56" s="1"/>
      <c r="F56" s="1"/>
      <c r="G56" s="1"/>
      <c r="H56" s="1"/>
      <c r="I56" s="1"/>
      <c r="J56" s="30"/>
      <c r="K56" s="42"/>
      <c r="L56" s="7"/>
      <c r="M56" s="7"/>
      <c r="N56" s="6"/>
    </row>
    <row r="57" spans="2:14" ht="25.5">
      <c r="B57" s="1" t="s">
        <v>93</v>
      </c>
      <c r="C57" s="3" t="s">
        <v>94</v>
      </c>
      <c r="D57" s="1"/>
      <c r="E57" s="1"/>
      <c r="F57" s="1"/>
      <c r="G57" s="1"/>
      <c r="H57" s="1"/>
      <c r="I57" s="1"/>
      <c r="J57" s="30"/>
      <c r="K57" s="42"/>
      <c r="L57" s="7"/>
      <c r="M57" s="7"/>
      <c r="N57" s="6"/>
    </row>
    <row r="58" spans="2:15" ht="12.75">
      <c r="B58" s="1"/>
      <c r="C58" s="4" t="s">
        <v>60</v>
      </c>
      <c r="D58" s="2"/>
      <c r="E58" s="2"/>
      <c r="F58" s="2">
        <v>1340523.8</v>
      </c>
      <c r="G58" s="2">
        <v>936073.8</v>
      </c>
      <c r="H58" s="2">
        <v>404450.1</v>
      </c>
      <c r="I58" s="2">
        <f aca="true" t="shared" si="3" ref="I58:N58">SUM(I51:I57)</f>
        <v>36602.7221605987</v>
      </c>
      <c r="J58" s="31">
        <f t="shared" si="3"/>
        <v>0.7887225833828662</v>
      </c>
      <c r="K58" s="43">
        <f t="shared" si="3"/>
        <v>9150.680540149675</v>
      </c>
      <c r="L58" s="6">
        <f t="shared" si="3"/>
        <v>18301.36108029935</v>
      </c>
      <c r="M58" s="6">
        <f t="shared" si="3"/>
        <v>27452.041620449025</v>
      </c>
      <c r="N58" s="6">
        <f t="shared" si="3"/>
        <v>36602.7221605987</v>
      </c>
      <c r="O58" s="5"/>
    </row>
    <row r="59" spans="2:14" ht="38.25">
      <c r="B59" s="1" t="s">
        <v>95</v>
      </c>
      <c r="C59" s="4" t="s">
        <v>481</v>
      </c>
      <c r="D59" s="2"/>
      <c r="E59" s="2">
        <v>141634.46</v>
      </c>
      <c r="F59" s="2"/>
      <c r="G59" s="2">
        <v>98901.86</v>
      </c>
      <c r="H59" s="2">
        <v>42732.6</v>
      </c>
      <c r="I59" s="1"/>
      <c r="J59" s="1"/>
      <c r="K59" s="1"/>
      <c r="L59" s="7"/>
      <c r="M59" s="7"/>
      <c r="N59" s="7"/>
    </row>
    <row r="60" spans="2:14" ht="38.25">
      <c r="B60" s="1" t="s">
        <v>96</v>
      </c>
      <c r="C60" s="3" t="s">
        <v>339</v>
      </c>
      <c r="D60" s="1" t="s">
        <v>51</v>
      </c>
      <c r="E60" s="1"/>
      <c r="F60" s="1">
        <v>3033160.58</v>
      </c>
      <c r="G60" s="1">
        <v>2118024.3</v>
      </c>
      <c r="H60" s="1">
        <v>915136.3</v>
      </c>
      <c r="I60" s="1">
        <f>H60/H59*C5</f>
        <v>82819.82872537595</v>
      </c>
      <c r="J60" s="30">
        <f>I60/C5/12</f>
        <v>1.784617793753091</v>
      </c>
      <c r="K60" s="42">
        <f>J60*C5*3</f>
        <v>20704.957181343987</v>
      </c>
      <c r="L60" s="44">
        <f>J60*C5*6</f>
        <v>41409.914362687974</v>
      </c>
      <c r="M60" s="7">
        <f>J60*C5*9</f>
        <v>62114.871544031965</v>
      </c>
      <c r="N60" s="7">
        <f>J60*C5*12</f>
        <v>82819.82872537595</v>
      </c>
    </row>
    <row r="61" spans="2:14" ht="12.75">
      <c r="B61" s="1" t="s">
        <v>98</v>
      </c>
      <c r="C61" s="3" t="s">
        <v>99</v>
      </c>
      <c r="D61" s="1" t="s">
        <v>53</v>
      </c>
      <c r="E61" s="1"/>
      <c r="F61" s="1">
        <v>1031274.6</v>
      </c>
      <c r="G61" s="1">
        <v>720128.3</v>
      </c>
      <c r="H61" s="1">
        <v>311146.3</v>
      </c>
      <c r="I61" s="1">
        <f>H61/H59*C5</f>
        <v>28158.737965628115</v>
      </c>
      <c r="J61" s="30">
        <f>I61/C5/12</f>
        <v>0.6067699679713693</v>
      </c>
      <c r="K61" s="42">
        <f>J61*C5*3</f>
        <v>7039.68449140703</v>
      </c>
      <c r="L61" s="44">
        <f>J61*C5*6</f>
        <v>14079.36898281406</v>
      </c>
      <c r="M61" s="7">
        <f>J61*C5*9</f>
        <v>21119.05347422109</v>
      </c>
      <c r="N61" s="7">
        <f>J61*C5*12</f>
        <v>28158.73796562812</v>
      </c>
    </row>
    <row r="62" spans="2:14" ht="25.5">
      <c r="B62" s="1" t="s">
        <v>100</v>
      </c>
      <c r="C62" s="3" t="s">
        <v>185</v>
      </c>
      <c r="D62" s="1" t="s">
        <v>536</v>
      </c>
      <c r="E62" s="1"/>
      <c r="F62" s="1">
        <v>719534.71</v>
      </c>
      <c r="G62" s="1">
        <v>502443.6</v>
      </c>
      <c r="H62" s="1">
        <v>217091.2</v>
      </c>
      <c r="I62" s="1">
        <f>H62/H59*C5</f>
        <v>19646.752075932665</v>
      </c>
      <c r="J62" s="30">
        <f>I62/C5/12</f>
        <v>0.423352038802538</v>
      </c>
      <c r="K62" s="42">
        <f>J62*C5*3</f>
        <v>4911.688018983166</v>
      </c>
      <c r="L62" s="44">
        <f>J62*C5*6</f>
        <v>9823.376037966333</v>
      </c>
      <c r="M62" s="7">
        <f>J62*C5*9</f>
        <v>14735.064056949497</v>
      </c>
      <c r="N62" s="7">
        <f>J62*C5*12</f>
        <v>19646.752075932665</v>
      </c>
    </row>
    <row r="63" spans="2:14" ht="25.5">
      <c r="B63" s="1" t="s">
        <v>102</v>
      </c>
      <c r="C63" s="3" t="s">
        <v>158</v>
      </c>
      <c r="D63" s="1"/>
      <c r="E63" s="1"/>
      <c r="F63" s="1"/>
      <c r="G63" s="1"/>
      <c r="H63" s="1"/>
      <c r="I63" s="1"/>
      <c r="J63" s="30"/>
      <c r="K63" s="42"/>
      <c r="L63" s="44"/>
      <c r="M63" s="7"/>
      <c r="N63" s="7"/>
    </row>
    <row r="64" spans="2:14" ht="63.75">
      <c r="B64" s="1" t="s">
        <v>104</v>
      </c>
      <c r="C64" s="4" t="s">
        <v>349</v>
      </c>
      <c r="D64" s="1" t="s">
        <v>71</v>
      </c>
      <c r="E64" s="1"/>
      <c r="F64" s="1"/>
      <c r="G64" s="1"/>
      <c r="H64" s="1"/>
      <c r="I64" s="1"/>
      <c r="J64" s="30"/>
      <c r="K64" s="42"/>
      <c r="L64" s="44"/>
      <c r="M64" s="7"/>
      <c r="N64" s="7"/>
    </row>
    <row r="65" spans="2:14" ht="51">
      <c r="B65" s="1" t="s">
        <v>105</v>
      </c>
      <c r="C65" s="3" t="s">
        <v>106</v>
      </c>
      <c r="D65" s="3" t="s">
        <v>107</v>
      </c>
      <c r="E65" s="3" t="s">
        <v>108</v>
      </c>
      <c r="F65" s="1">
        <v>71968.71</v>
      </c>
      <c r="G65" s="1">
        <v>32713.05</v>
      </c>
      <c r="H65" s="1">
        <v>39255.66</v>
      </c>
      <c r="I65" s="1">
        <f>H65/6*C12</f>
        <v>13085.220000000001</v>
      </c>
      <c r="J65" s="30">
        <f>I65/C5/12</f>
        <v>0.2819628681509063</v>
      </c>
      <c r="K65" s="42">
        <f>J65*C5*3</f>
        <v>3271.3050000000003</v>
      </c>
      <c r="L65" s="44">
        <f>J65*C5*6</f>
        <v>6542.610000000001</v>
      </c>
      <c r="M65" s="7">
        <f>J65*C5*9</f>
        <v>9813.915</v>
      </c>
      <c r="N65" s="7">
        <f>J65*C5*12</f>
        <v>13085.220000000001</v>
      </c>
    </row>
    <row r="66" spans="2:14" ht="12.75">
      <c r="B66" s="1"/>
      <c r="C66" s="4" t="s">
        <v>60</v>
      </c>
      <c r="D66" s="2"/>
      <c r="E66" s="2"/>
      <c r="F66" s="2">
        <v>4855938.6</v>
      </c>
      <c r="G66" s="2">
        <v>3373309.1</v>
      </c>
      <c r="H66" s="2">
        <v>1482629.5</v>
      </c>
      <c r="I66" s="2">
        <f aca="true" t="shared" si="4" ref="I66:N66">SUM(I60:I65)</f>
        <v>143710.53876693672</v>
      </c>
      <c r="J66" s="31">
        <f t="shared" si="4"/>
        <v>3.0967026686779047</v>
      </c>
      <c r="K66" s="43">
        <f t="shared" si="4"/>
        <v>35927.63469173418</v>
      </c>
      <c r="L66" s="6">
        <f t="shared" si="4"/>
        <v>71855.26938346836</v>
      </c>
      <c r="M66" s="6">
        <f t="shared" si="4"/>
        <v>107782.90407520256</v>
      </c>
      <c r="N66" s="6">
        <f t="shared" si="4"/>
        <v>143710.53876693672</v>
      </c>
    </row>
    <row r="67" spans="2:14" ht="12.75">
      <c r="B67" s="1" t="s">
        <v>109</v>
      </c>
      <c r="C67" s="4" t="s">
        <v>482</v>
      </c>
      <c r="D67" s="2"/>
      <c r="E67" s="2">
        <v>141634.46</v>
      </c>
      <c r="F67" s="2"/>
      <c r="G67" s="2">
        <v>98901.86</v>
      </c>
      <c r="H67" s="2">
        <v>42732.6</v>
      </c>
      <c r="I67" s="1"/>
      <c r="J67" s="1"/>
      <c r="K67" s="1"/>
      <c r="L67" s="7"/>
      <c r="M67" s="7"/>
      <c r="N67" s="7"/>
    </row>
    <row r="68" spans="2:14" ht="51">
      <c r="B68" s="1" t="s">
        <v>110</v>
      </c>
      <c r="C68" s="3" t="s">
        <v>483</v>
      </c>
      <c r="D68" s="1" t="s">
        <v>111</v>
      </c>
      <c r="E68" s="1"/>
      <c r="F68" s="1">
        <v>277923.9</v>
      </c>
      <c r="G68" s="1">
        <v>194071.3</v>
      </c>
      <c r="H68" s="1">
        <v>83852.6</v>
      </c>
      <c r="I68" s="1">
        <f>H68/H67*C5</f>
        <v>7588.6597113211</v>
      </c>
      <c r="J68" s="30">
        <f>I68/C5/12</f>
        <v>0.16352191691277077</v>
      </c>
      <c r="K68" s="42">
        <f>J68*C5*3</f>
        <v>1897.1649278302752</v>
      </c>
      <c r="L68" s="7">
        <f>J68*C5*6</f>
        <v>3794.3298556605505</v>
      </c>
      <c r="M68" s="7">
        <f>J68*C5*9</f>
        <v>5691.494783490825</v>
      </c>
      <c r="N68" s="7">
        <f>J68*C5*12</f>
        <v>7588.659711321101</v>
      </c>
    </row>
    <row r="69" spans="2:14" ht="12.75">
      <c r="B69" s="1"/>
      <c r="C69" s="3"/>
      <c r="D69" s="1" t="s">
        <v>53</v>
      </c>
      <c r="E69" s="1"/>
      <c r="F69" s="1">
        <v>94494.1</v>
      </c>
      <c r="G69" s="1">
        <v>65984.3</v>
      </c>
      <c r="H69" s="1">
        <v>28509.9</v>
      </c>
      <c r="I69" s="1">
        <f>H69/H67*C5</f>
        <v>2580.1457498490618</v>
      </c>
      <c r="J69" s="30">
        <f>I69/C5/12</f>
        <v>0.05559748295212555</v>
      </c>
      <c r="K69" s="42">
        <f>J69*C5*3</f>
        <v>645.0364374622654</v>
      </c>
      <c r="L69" s="7">
        <f>J69*C5*6</f>
        <v>1290.0728749245309</v>
      </c>
      <c r="M69" s="7">
        <f>J69*C5*9</f>
        <v>1935.1093123867963</v>
      </c>
      <c r="N69" s="7">
        <f>J69*C5*12</f>
        <v>2580.1457498490618</v>
      </c>
    </row>
    <row r="70" spans="2:14" ht="12.75">
      <c r="B70" s="1"/>
      <c r="C70" s="3"/>
      <c r="D70" s="1" t="s">
        <v>536</v>
      </c>
      <c r="E70" s="1"/>
      <c r="F70" s="1">
        <v>79948</v>
      </c>
      <c r="G70" s="1">
        <v>55826.9</v>
      </c>
      <c r="H70" s="1">
        <v>24121.1</v>
      </c>
      <c r="I70" s="1">
        <f>H70/H67*C5</f>
        <v>2182.9593806601983</v>
      </c>
      <c r="J70" s="30">
        <f>I70/C5/12</f>
        <v>0.04703883373973656</v>
      </c>
      <c r="K70" s="42">
        <f>J70*C5*3</f>
        <v>545.7398451650496</v>
      </c>
      <c r="L70" s="7">
        <f>J70*C5*6</f>
        <v>1091.4796903300992</v>
      </c>
      <c r="M70" s="7">
        <f>J70*C5*9</f>
        <v>1637.2195354951489</v>
      </c>
      <c r="N70" s="7">
        <f>J70*C5*12</f>
        <v>2182.9593806601983</v>
      </c>
    </row>
    <row r="71" spans="2:14" ht="25.5">
      <c r="B71" s="1"/>
      <c r="C71" s="3"/>
      <c r="D71" s="3" t="s">
        <v>112</v>
      </c>
      <c r="E71" s="1"/>
      <c r="F71" s="1">
        <v>882609.2</v>
      </c>
      <c r="G71" s="1">
        <v>344178.5</v>
      </c>
      <c r="H71" s="1">
        <v>538430.8</v>
      </c>
      <c r="I71" s="1">
        <f>H71/H67*C5</f>
        <v>48727.98361999973</v>
      </c>
      <c r="J71" s="30">
        <f>I71/C5/12</f>
        <v>1.050000078004459</v>
      </c>
      <c r="K71" s="42">
        <f>J71*C5*3</f>
        <v>12181.995904999932</v>
      </c>
      <c r="L71" s="7">
        <f>J71*C5*6</f>
        <v>24363.991809999865</v>
      </c>
      <c r="M71" s="7">
        <f>J71*C5*9</f>
        <v>36545.9877149998</v>
      </c>
      <c r="N71" s="7">
        <f>J71*C5*12</f>
        <v>48727.98361999973</v>
      </c>
    </row>
    <row r="72" spans="2:14" ht="12.75">
      <c r="B72" s="1"/>
      <c r="C72" s="3"/>
      <c r="D72" s="1"/>
      <c r="E72" s="1"/>
      <c r="F72" s="1"/>
      <c r="G72" s="1"/>
      <c r="H72" s="1"/>
      <c r="I72" s="1"/>
      <c r="J72" s="30"/>
      <c r="K72" s="42"/>
      <c r="L72" s="7"/>
      <c r="M72" s="7"/>
      <c r="N72" s="7"/>
    </row>
    <row r="73" spans="2:15" ht="12.75">
      <c r="B73" s="1"/>
      <c r="C73" s="4" t="s">
        <v>60</v>
      </c>
      <c r="D73" s="2"/>
      <c r="E73" s="2"/>
      <c r="F73" s="2">
        <v>1334975.3</v>
      </c>
      <c r="G73" s="2">
        <v>660060.9</v>
      </c>
      <c r="H73" s="2">
        <v>674914.3</v>
      </c>
      <c r="I73" s="2">
        <f aca="true" t="shared" si="5" ref="I73:N73">SUM(I68:I72)</f>
        <v>61079.748461830095</v>
      </c>
      <c r="J73" s="31">
        <f t="shared" si="5"/>
        <v>1.3161583116090918</v>
      </c>
      <c r="K73" s="43">
        <f t="shared" si="5"/>
        <v>15269.937115457524</v>
      </c>
      <c r="L73" s="6">
        <f t="shared" si="5"/>
        <v>30539.874230915048</v>
      </c>
      <c r="M73" s="6">
        <f t="shared" si="5"/>
        <v>45809.81134637257</v>
      </c>
      <c r="N73" s="6">
        <f t="shared" si="5"/>
        <v>61079.748461830095</v>
      </c>
      <c r="O73" s="5"/>
    </row>
    <row r="74" spans="2:14" ht="12.75">
      <c r="B74" s="1" t="s">
        <v>113</v>
      </c>
      <c r="C74" s="4" t="s">
        <v>484</v>
      </c>
      <c r="D74" s="2"/>
      <c r="E74" s="2">
        <v>15</v>
      </c>
      <c r="F74" s="2">
        <v>1600212</v>
      </c>
      <c r="G74" s="2"/>
      <c r="H74" s="2">
        <v>1600212</v>
      </c>
      <c r="I74" s="2">
        <f>I75+I76</f>
        <v>135510.192</v>
      </c>
      <c r="J74" s="31">
        <f>J75+J76</f>
        <v>2.9199999999999995</v>
      </c>
      <c r="K74" s="2">
        <f>J74*C5*3</f>
        <v>33877.547999999995</v>
      </c>
      <c r="L74" s="6">
        <f>J74*C5*6</f>
        <v>67755.09599999999</v>
      </c>
      <c r="M74" s="6">
        <f>J74*C5*9</f>
        <v>101632.64399999999</v>
      </c>
      <c r="N74" s="6">
        <f>J74*C5*12</f>
        <v>135510.19199999998</v>
      </c>
    </row>
    <row r="75" spans="2:14" ht="12.75">
      <c r="B75" s="1"/>
      <c r="C75" s="3" t="s">
        <v>114</v>
      </c>
      <c r="D75" s="1"/>
      <c r="E75" s="1"/>
      <c r="F75" s="1">
        <v>1431000</v>
      </c>
      <c r="G75" s="1"/>
      <c r="H75" s="1">
        <v>1431000</v>
      </c>
      <c r="I75" s="1">
        <f>2.79*C5*12</f>
        <v>129477.204</v>
      </c>
      <c r="J75" s="30">
        <f>I75/C5/12</f>
        <v>2.7899999999999996</v>
      </c>
      <c r="K75" s="1">
        <f>J75*C5*3</f>
        <v>32369.301</v>
      </c>
      <c r="L75" s="7">
        <f>J75*C5*6</f>
        <v>64738.602</v>
      </c>
      <c r="M75" s="7">
        <f>J75*C5*9</f>
        <v>97107.90299999999</v>
      </c>
      <c r="N75" s="7">
        <f>J75*C5*12</f>
        <v>129477.204</v>
      </c>
    </row>
    <row r="76" spans="2:14" ht="12.75">
      <c r="B76" s="1"/>
      <c r="C76" s="3" t="s">
        <v>115</v>
      </c>
      <c r="D76" s="1"/>
      <c r="E76" s="1"/>
      <c r="F76" s="1">
        <v>169212</v>
      </c>
      <c r="G76" s="1"/>
      <c r="H76" s="1">
        <v>169212</v>
      </c>
      <c r="I76" s="1">
        <f>0.13*C5*12</f>
        <v>6032.988</v>
      </c>
      <c r="J76" s="30">
        <f>I76/C5/12</f>
        <v>0.13</v>
      </c>
      <c r="K76" s="1">
        <f>J76*C5*3</f>
        <v>1508.247</v>
      </c>
      <c r="L76" s="7">
        <f>J76*C5*6</f>
        <v>3016.494</v>
      </c>
      <c r="M76" s="7">
        <f>J76*C5*9</f>
        <v>4524.741</v>
      </c>
      <c r="N76" s="7">
        <f>J76*C5*12</f>
        <v>6032.988</v>
      </c>
    </row>
    <row r="77" spans="2:14" ht="12.75">
      <c r="B77" s="1" t="s">
        <v>116</v>
      </c>
      <c r="C77" s="3" t="s">
        <v>485</v>
      </c>
      <c r="D77" s="1"/>
      <c r="E77" s="1"/>
      <c r="F77" s="1"/>
      <c r="G77" s="1"/>
      <c r="H77" s="1"/>
      <c r="I77" s="1"/>
      <c r="J77" s="1"/>
      <c r="K77" s="1"/>
      <c r="L77" s="7"/>
      <c r="M77" s="7"/>
      <c r="N77" s="7"/>
    </row>
    <row r="78" spans="2:14" ht="12.75">
      <c r="B78" s="1"/>
      <c r="C78" s="3"/>
      <c r="D78" s="1"/>
      <c r="E78" s="1"/>
      <c r="F78" s="1"/>
      <c r="G78" s="1"/>
      <c r="H78" s="1"/>
      <c r="I78" s="1"/>
      <c r="J78" s="1"/>
      <c r="K78" s="1"/>
      <c r="L78" s="7"/>
      <c r="M78" s="7"/>
      <c r="N78" s="7"/>
    </row>
    <row r="79" spans="2:14" ht="12.75">
      <c r="B79" s="2" t="s">
        <v>117</v>
      </c>
      <c r="C79" s="4"/>
      <c r="D79" s="2"/>
      <c r="E79" s="2"/>
      <c r="F79" s="2">
        <v>19547580.6</v>
      </c>
      <c r="G79" s="2">
        <v>11502035</v>
      </c>
      <c r="H79" s="2">
        <v>8045545.6</v>
      </c>
      <c r="I79" s="2">
        <f>I32+I41+I42+I49+I58+I66+I73+I74</f>
        <v>767355.4511741722</v>
      </c>
      <c r="J79" s="31">
        <f>J32+J41+J42+J49+J58+J66+J73+J74</f>
        <v>16.53512466005939</v>
      </c>
      <c r="K79" s="43">
        <f>J79*C5*3</f>
        <v>191838.86279354306</v>
      </c>
      <c r="L79" s="6">
        <f>L32+L41+L42+L49+L58+L66+L73+L74</f>
        <v>383677.72558708605</v>
      </c>
      <c r="M79" s="6">
        <f>M32+M41+M42+M49+M58+M66+M73+M74</f>
        <v>575516.5883806292</v>
      </c>
      <c r="N79" s="6">
        <f>N32+N41+N42+N49+N58+N66+N73+N74</f>
        <v>767355.4511741721</v>
      </c>
    </row>
    <row r="80" spans="2:14" ht="12.75">
      <c r="B80" s="1"/>
      <c r="C80" s="3" t="s">
        <v>118</v>
      </c>
      <c r="D80" s="1"/>
      <c r="E80" s="1"/>
      <c r="F80" s="1">
        <v>1724360</v>
      </c>
      <c r="G80" s="1">
        <v>1204102.5</v>
      </c>
      <c r="H80" s="1">
        <v>520257.5</v>
      </c>
      <c r="I80" s="1">
        <f>H80/H79*I79</f>
        <v>49620.30525801095</v>
      </c>
      <c r="J80" s="30">
        <f>I80/C5/12</f>
        <v>1.069227998388431</v>
      </c>
      <c r="K80" s="42">
        <f>J80*C5*3</f>
        <v>12405.076314502738</v>
      </c>
      <c r="L80" s="7">
        <f>J80*C5*6</f>
        <v>24810.152629005475</v>
      </c>
      <c r="M80" s="7">
        <f>J80*C5*9</f>
        <v>37215.22894350821</v>
      </c>
      <c r="N80" s="7">
        <f>J80*C5*12</f>
        <v>49620.30525801095</v>
      </c>
    </row>
    <row r="81" spans="2:14" ht="25.5">
      <c r="B81" s="1"/>
      <c r="C81" s="3" t="s">
        <v>119</v>
      </c>
      <c r="D81" s="1"/>
      <c r="E81" s="1"/>
      <c r="F81" s="1">
        <v>5396925.11</v>
      </c>
      <c r="G81" s="1">
        <v>3223686.7</v>
      </c>
      <c r="H81" s="1">
        <v>2173238.4</v>
      </c>
      <c r="I81" s="1">
        <f>H81/(H79+H80)*(I79+I80)</f>
        <v>207275.72943481128</v>
      </c>
      <c r="J81" s="30">
        <f>I81/C5/12</f>
        <v>4.466417772839175</v>
      </c>
      <c r="K81" s="42">
        <f>C5*3</f>
        <v>11601.900000000001</v>
      </c>
      <c r="L81" s="7">
        <f>J81*C5*6</f>
        <v>103637.86471740564</v>
      </c>
      <c r="M81" s="7">
        <f>J81*C5*9</f>
        <v>155456.79707610846</v>
      </c>
      <c r="N81" s="7">
        <f>J81*C5*12</f>
        <v>207275.72943481128</v>
      </c>
    </row>
    <row r="82" spans="2:14" ht="12.75">
      <c r="B82" s="2" t="s">
        <v>590</v>
      </c>
      <c r="C82" s="4"/>
      <c r="D82" s="2"/>
      <c r="E82" s="2"/>
      <c r="F82" s="2">
        <v>26668865.67</v>
      </c>
      <c r="G82" s="2">
        <v>15929824.3</v>
      </c>
      <c r="H82" s="2">
        <v>10739041.4</v>
      </c>
      <c r="I82" s="2">
        <f>I79+I80+I81</f>
        <v>1024251.4858669945</v>
      </c>
      <c r="J82" s="31">
        <f>J79+J80+J81</f>
        <v>22.070770431287</v>
      </c>
      <c r="K82" s="43">
        <f>J82*C5*3</f>
        <v>256062.87146674865</v>
      </c>
      <c r="L82" s="6">
        <f>SUM(L79:L81)</f>
        <v>512125.7429334972</v>
      </c>
      <c r="M82" s="6">
        <f>SUM(M79:M81)</f>
        <v>768188.614400246</v>
      </c>
      <c r="N82" s="6">
        <f>SUM(N79:N81)</f>
        <v>1024251.4858669944</v>
      </c>
    </row>
    <row r="83" spans="2:14" ht="12.75">
      <c r="B83" s="1" t="s">
        <v>120</v>
      </c>
      <c r="C83" s="3"/>
      <c r="D83" s="1"/>
      <c r="E83" s="1"/>
      <c r="F83" s="1">
        <v>1333443.28</v>
      </c>
      <c r="G83" s="1">
        <v>796491.2</v>
      </c>
      <c r="H83" s="1">
        <v>536952.07</v>
      </c>
      <c r="I83" s="1"/>
      <c r="J83" s="30"/>
      <c r="K83" s="42"/>
      <c r="L83" s="7"/>
      <c r="M83" s="7"/>
      <c r="N83" s="7"/>
    </row>
    <row r="84" spans="2:14" ht="25.5">
      <c r="B84" s="1"/>
      <c r="C84" s="4" t="s">
        <v>121</v>
      </c>
      <c r="D84" s="2"/>
      <c r="E84" s="2"/>
      <c r="F84" s="2">
        <v>28002308.95</v>
      </c>
      <c r="G84" s="2">
        <v>16726315.5</v>
      </c>
      <c r="H84" s="2">
        <v>11275993.5</v>
      </c>
      <c r="I84" s="2">
        <f>I82+I83</f>
        <v>1024251.4858669945</v>
      </c>
      <c r="J84" s="31">
        <f>J82+J83</f>
        <v>22.070770431287</v>
      </c>
      <c r="K84" s="2">
        <f>J84*C5*3</f>
        <v>256062.87146674865</v>
      </c>
      <c r="L84" s="6">
        <f>L82+L83</f>
        <v>512125.7429334972</v>
      </c>
      <c r="M84" s="6">
        <f>M82+M83</f>
        <v>768188.614400246</v>
      </c>
      <c r="N84" s="6">
        <f>N82+N83</f>
        <v>1024251.4858669944</v>
      </c>
    </row>
    <row r="85" spans="2:14" ht="12.75">
      <c r="B85" s="1"/>
      <c r="C85" s="3"/>
      <c r="D85" s="1"/>
      <c r="E85" s="1"/>
      <c r="F85" s="1"/>
      <c r="G85" s="1"/>
      <c r="H85" s="1"/>
      <c r="I85" s="1"/>
      <c r="J85" s="1"/>
      <c r="K85" s="1"/>
      <c r="L85" s="7"/>
      <c r="M85" s="7"/>
      <c r="N85" s="1"/>
    </row>
    <row r="86" spans="2:14" ht="12.75">
      <c r="B86" s="1"/>
      <c r="C86" s="1" t="s">
        <v>514</v>
      </c>
      <c r="D86" s="1"/>
      <c r="E86" s="1"/>
      <c r="F86" s="1"/>
      <c r="G86" s="1"/>
      <c r="H86" s="1"/>
      <c r="I86" s="1"/>
      <c r="J86" s="1">
        <v>18.93</v>
      </c>
      <c r="K86" s="1"/>
      <c r="L86" s="1"/>
      <c r="M86" s="7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>
        <v>3.5</v>
      </c>
      <c r="K87" s="1"/>
      <c r="L87" s="1"/>
      <c r="M87" s="7"/>
      <c r="N87" s="1"/>
    </row>
    <row r="88" spans="2:14" ht="12.75">
      <c r="B88" s="1"/>
      <c r="C88" s="1" t="s">
        <v>368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 t="s">
        <v>369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 t="s">
        <v>370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371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372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 t="s">
        <v>369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 t="s">
        <v>370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371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 t="s">
        <v>374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</sheetData>
  <mergeCells count="16">
    <mergeCell ref="B13:B17"/>
    <mergeCell ref="C13:C17"/>
    <mergeCell ref="D13:D17"/>
    <mergeCell ref="E13:E17"/>
    <mergeCell ref="F13:F17"/>
    <mergeCell ref="G13:H13"/>
    <mergeCell ref="G14:G17"/>
    <mergeCell ref="H14:H17"/>
    <mergeCell ref="I13:J13"/>
    <mergeCell ref="I14:I17"/>
    <mergeCell ref="J14:J17"/>
    <mergeCell ref="K13:N13"/>
    <mergeCell ref="K14:K17"/>
    <mergeCell ref="L14:L17"/>
    <mergeCell ref="M14:M17"/>
    <mergeCell ref="N14:N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4:R99"/>
  <sheetViews>
    <sheetView workbookViewId="0" topLeftCell="A4">
      <pane xSplit="1" ySplit="14" topLeftCell="B58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P65" sqref="P65"/>
    </sheetView>
  </sheetViews>
  <sheetFormatPr defaultColWidth="9.140625" defaultRowHeight="12.75"/>
  <cols>
    <col min="2" max="2" width="11.421875" style="0" customWidth="1"/>
    <col min="3" max="3" width="33.140625" style="0" customWidth="1"/>
    <col min="4" max="4" width="15.421875" style="0" customWidth="1"/>
    <col min="5" max="5" width="14.421875" style="0" hidden="1" customWidth="1"/>
    <col min="6" max="6" width="15.140625" style="0" hidden="1" customWidth="1"/>
    <col min="7" max="7" width="10.7109375" style="0" hidden="1" customWidth="1"/>
    <col min="8" max="8" width="14.57421875" style="0" hidden="1" customWidth="1"/>
    <col min="9" max="9" width="12.28125" style="0" hidden="1" customWidth="1"/>
    <col min="10" max="10" width="12.57421875" style="0" customWidth="1"/>
    <col min="11" max="11" width="10.8515625" style="0" hidden="1" customWidth="1"/>
    <col min="12" max="12" width="13.140625" style="0" hidden="1" customWidth="1"/>
    <col min="13" max="13" width="10.28125" style="0" customWidth="1"/>
    <col min="14" max="14" width="11.140625" style="0" customWidth="1"/>
  </cols>
  <sheetData>
    <row r="4" spans="2:4" ht="12.75">
      <c r="B4" t="s">
        <v>487</v>
      </c>
      <c r="C4" s="5" t="s">
        <v>21</v>
      </c>
      <c r="D4" s="5"/>
    </row>
    <row r="5" spans="2:3" ht="12.75">
      <c r="B5" t="s">
        <v>488</v>
      </c>
      <c r="C5">
        <v>3563.1</v>
      </c>
    </row>
    <row r="6" spans="2:3" ht="12.75">
      <c r="B6" t="s">
        <v>489</v>
      </c>
      <c r="C6">
        <v>4350</v>
      </c>
    </row>
    <row r="7" spans="2:4" ht="12.75">
      <c r="B7" t="s">
        <v>490</v>
      </c>
      <c r="C7" s="5">
        <v>1760</v>
      </c>
      <c r="D7" s="5"/>
    </row>
    <row r="8" spans="2:3" ht="12.75">
      <c r="B8" t="s">
        <v>491</v>
      </c>
      <c r="C8">
        <v>960.8</v>
      </c>
    </row>
    <row r="9" spans="2:3" ht="12.75">
      <c r="B9" t="s">
        <v>493</v>
      </c>
      <c r="C9">
        <v>72</v>
      </c>
    </row>
    <row r="10" spans="2:3" ht="12.75">
      <c r="B10" t="s">
        <v>494</v>
      </c>
      <c r="C10">
        <v>9</v>
      </c>
    </row>
    <row r="11" spans="2:3" ht="12.75">
      <c r="B11" t="s">
        <v>484</v>
      </c>
      <c r="C11">
        <v>1</v>
      </c>
    </row>
    <row r="12" spans="2:3" ht="12.75">
      <c r="B12" t="s">
        <v>547</v>
      </c>
      <c r="C12">
        <v>2</v>
      </c>
    </row>
    <row r="13" spans="2:14" ht="12.75">
      <c r="B13" s="74" t="s">
        <v>40</v>
      </c>
      <c r="C13" s="74" t="s">
        <v>22</v>
      </c>
      <c r="D13" s="74" t="s">
        <v>41</v>
      </c>
      <c r="E13" s="74" t="s">
        <v>42</v>
      </c>
      <c r="F13" s="74" t="s">
        <v>43</v>
      </c>
      <c r="G13" s="74" t="s">
        <v>44</v>
      </c>
      <c r="H13" s="74"/>
      <c r="I13" s="79" t="s">
        <v>123</v>
      </c>
      <c r="J13" s="79"/>
      <c r="K13" s="74" t="s">
        <v>131</v>
      </c>
      <c r="L13" s="74"/>
      <c r="M13" s="74"/>
      <c r="N13" s="74"/>
    </row>
    <row r="14" spans="2:14" ht="12.75">
      <c r="B14" s="74"/>
      <c r="C14" s="74"/>
      <c r="D14" s="74"/>
      <c r="E14" s="74"/>
      <c r="F14" s="74"/>
      <c r="G14" s="74" t="s">
        <v>122</v>
      </c>
      <c r="H14" s="74" t="s">
        <v>45</v>
      </c>
      <c r="I14" s="74" t="s">
        <v>124</v>
      </c>
      <c r="J14" s="74" t="s">
        <v>125</v>
      </c>
      <c r="K14" s="74" t="s">
        <v>132</v>
      </c>
      <c r="L14" s="81" t="s">
        <v>172</v>
      </c>
      <c r="M14" s="81" t="s">
        <v>222</v>
      </c>
      <c r="N14" s="81" t="s">
        <v>305</v>
      </c>
    </row>
    <row r="15" spans="2:14" ht="12.7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81"/>
      <c r="M15" s="81"/>
      <c r="N15" s="81"/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1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4" t="s">
        <v>46</v>
      </c>
      <c r="D21" s="4"/>
      <c r="E21" s="2">
        <v>141634.46</v>
      </c>
      <c r="F21" s="2"/>
      <c r="G21" s="2">
        <v>98901.86</v>
      </c>
      <c r="H21" s="2">
        <v>42732.6</v>
      </c>
      <c r="I21" s="1"/>
      <c r="J21" s="1"/>
      <c r="K21" s="1"/>
      <c r="L21" s="1"/>
      <c r="M21" s="1"/>
      <c r="N21" s="1"/>
    </row>
    <row r="22" spans="2:14" ht="12.75">
      <c r="B22" s="1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 t="s">
        <v>47</v>
      </c>
      <c r="C23" s="4" t="s">
        <v>23</v>
      </c>
      <c r="D23" s="4"/>
      <c r="E23" s="2"/>
      <c r="F23" s="2"/>
      <c r="G23" s="2"/>
      <c r="H23" s="2"/>
      <c r="I23" s="1"/>
      <c r="J23" s="1"/>
      <c r="K23" s="1"/>
      <c r="L23" s="1"/>
      <c r="M23" s="1"/>
      <c r="N23" s="1"/>
    </row>
    <row r="24" spans="2:14" ht="25.5">
      <c r="B24" s="1" t="s">
        <v>48</v>
      </c>
      <c r="C24" s="4" t="s">
        <v>24</v>
      </c>
      <c r="D24" s="4"/>
      <c r="E24" s="2">
        <v>17784</v>
      </c>
      <c r="F24" s="2"/>
      <c r="G24" s="2">
        <v>10809.7</v>
      </c>
      <c r="H24" s="2">
        <v>6974.3</v>
      </c>
      <c r="I24" s="1"/>
      <c r="J24" s="1"/>
      <c r="K24" s="1"/>
      <c r="L24" s="1"/>
      <c r="M24" s="1"/>
      <c r="N24" s="1"/>
    </row>
    <row r="25" spans="2:14" ht="25.5">
      <c r="B25" s="1" t="s">
        <v>49</v>
      </c>
      <c r="C25" s="3" t="s">
        <v>25</v>
      </c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8" ht="25.5">
      <c r="B26" s="1" t="s">
        <v>50</v>
      </c>
      <c r="C26" s="3" t="s">
        <v>26</v>
      </c>
      <c r="D26" s="3" t="s">
        <v>51</v>
      </c>
      <c r="E26" s="1"/>
      <c r="F26" s="1">
        <v>2343012.48</v>
      </c>
      <c r="G26" s="1">
        <v>1045514.2</v>
      </c>
      <c r="H26" s="1">
        <v>1297498.3</v>
      </c>
      <c r="I26" s="1">
        <f>H26/H24*C8</f>
        <v>178747.1669758972</v>
      </c>
      <c r="J26" s="30">
        <f>I26/C5/12</f>
        <v>4.180516193200145</v>
      </c>
      <c r="K26" s="42">
        <f>J26*C5*3</f>
        <v>44686.7917439743</v>
      </c>
      <c r="L26" s="7">
        <f>J26*C5*6</f>
        <v>89373.5834879486</v>
      </c>
      <c r="M26" s="7">
        <f>J26*C5*9</f>
        <v>134060.3752319229</v>
      </c>
      <c r="N26" s="7">
        <f>J26*C5*12</f>
        <v>178747.1669758972</v>
      </c>
      <c r="R26" t="s">
        <v>143</v>
      </c>
    </row>
    <row r="27" spans="2:14" ht="38.25">
      <c r="B27" s="1" t="s">
        <v>52</v>
      </c>
      <c r="C27" s="3" t="s">
        <v>27</v>
      </c>
      <c r="D27" s="3" t="s">
        <v>53</v>
      </c>
      <c r="E27" s="1"/>
      <c r="F27" s="1">
        <v>796624.2</v>
      </c>
      <c r="G27" s="1">
        <v>355474.8</v>
      </c>
      <c r="H27" s="1">
        <v>441149.4</v>
      </c>
      <c r="I27" s="1">
        <f>H27/H24*C8</f>
        <v>60774.033741020605</v>
      </c>
      <c r="J27" s="30">
        <f>I27/C5/12</f>
        <v>1.421375434804445</v>
      </c>
      <c r="K27" s="42">
        <f>J27*C5*3</f>
        <v>15193.508435255153</v>
      </c>
      <c r="L27" s="7">
        <f>J27*C5*6</f>
        <v>30387.016870510306</v>
      </c>
      <c r="M27" s="7">
        <f>J27*C5*9</f>
        <v>45580.52530576546</v>
      </c>
      <c r="N27" s="7">
        <f>J27*C5*12</f>
        <v>60774.03374102061</v>
      </c>
    </row>
    <row r="28" spans="2:14" ht="12.75">
      <c r="B28" s="1" t="s">
        <v>54</v>
      </c>
      <c r="C28" s="3" t="s">
        <v>28</v>
      </c>
      <c r="D28" s="3" t="s">
        <v>536</v>
      </c>
      <c r="E28" s="1"/>
      <c r="F28" s="1">
        <v>116909.87</v>
      </c>
      <c r="G28" s="1">
        <v>71061.7</v>
      </c>
      <c r="H28" s="1">
        <v>45848.2</v>
      </c>
      <c r="I28" s="1">
        <f>H28/H24*C8</f>
        <v>6316.1823494831015</v>
      </c>
      <c r="J28" s="30">
        <f>I28/C5/12</f>
        <v>0.14772207603592147</v>
      </c>
      <c r="K28" s="42">
        <f>J28*C5*3</f>
        <v>1579.0455873707754</v>
      </c>
      <c r="L28" s="7">
        <f>J28*C5*6</f>
        <v>3158.0911747415507</v>
      </c>
      <c r="M28" s="7">
        <f>J28*C5*9</f>
        <v>4737.136762112326</v>
      </c>
      <c r="N28" s="7">
        <f>J28*C5*12</f>
        <v>6316.1823494831015</v>
      </c>
    </row>
    <row r="29" spans="2:14" ht="12.75">
      <c r="B29" s="1" t="s">
        <v>55</v>
      </c>
      <c r="C29" s="3" t="s">
        <v>29</v>
      </c>
      <c r="D29" s="3"/>
      <c r="E29" s="1">
        <v>15</v>
      </c>
      <c r="F29" s="1"/>
      <c r="G29" s="1"/>
      <c r="H29" s="1"/>
      <c r="I29" s="1"/>
      <c r="J29" s="1"/>
      <c r="K29" s="42"/>
      <c r="L29" s="7"/>
      <c r="M29" s="7"/>
      <c r="N29" s="7"/>
    </row>
    <row r="30" spans="2:14" ht="38.25">
      <c r="B30" s="1" t="s">
        <v>56</v>
      </c>
      <c r="C30" s="3" t="s">
        <v>57</v>
      </c>
      <c r="D30" s="3" t="s">
        <v>58</v>
      </c>
      <c r="E30" s="1"/>
      <c r="F30" s="1">
        <v>674</v>
      </c>
      <c r="G30" s="1"/>
      <c r="H30" s="1">
        <v>674</v>
      </c>
      <c r="I30" s="1">
        <f>H30/H24*C8</f>
        <v>92.85221455916722</v>
      </c>
      <c r="J30" s="30">
        <f>I30/C5/12</f>
        <v>0.002171615881282386</v>
      </c>
      <c r="K30" s="42">
        <f>J30*C5*3</f>
        <v>23.21305363979181</v>
      </c>
      <c r="L30" s="7">
        <f>J30*C5*6</f>
        <v>46.42610727958362</v>
      </c>
      <c r="M30" s="7">
        <f>J30*C5*9</f>
        <v>69.63916091937543</v>
      </c>
      <c r="N30" s="7">
        <f>J30*C5*12</f>
        <v>92.85221455916724</v>
      </c>
    </row>
    <row r="31" spans="2:14" ht="38.25">
      <c r="B31" s="1" t="s">
        <v>59</v>
      </c>
      <c r="C31" s="3" t="s">
        <v>30</v>
      </c>
      <c r="D31" s="3"/>
      <c r="E31" s="1"/>
      <c r="F31" s="1"/>
      <c r="G31" s="1"/>
      <c r="H31" s="1"/>
      <c r="I31" s="1"/>
      <c r="J31" s="1"/>
      <c r="K31" s="42"/>
      <c r="L31" s="7"/>
      <c r="M31" s="7"/>
      <c r="N31" s="7"/>
    </row>
    <row r="32" spans="2:14" ht="12.75">
      <c r="B32" s="1"/>
      <c r="C32" s="4" t="s">
        <v>60</v>
      </c>
      <c r="D32" s="4"/>
      <c r="E32" s="2"/>
      <c r="F32" s="2">
        <v>3257220.6</v>
      </c>
      <c r="G32" s="2">
        <v>1472050.7</v>
      </c>
      <c r="H32" s="2">
        <v>1785169.9</v>
      </c>
      <c r="I32" s="2">
        <f aca="true" t="shared" si="0" ref="I32:N32">SUM(I26:I31)</f>
        <v>245930.23528096007</v>
      </c>
      <c r="J32" s="31">
        <f t="shared" si="0"/>
        <v>5.751785319921794</v>
      </c>
      <c r="K32" s="43">
        <f t="shared" si="0"/>
        <v>61482.55882024002</v>
      </c>
      <c r="L32" s="6">
        <f t="shared" si="0"/>
        <v>122965.11764048004</v>
      </c>
      <c r="M32" s="6">
        <f t="shared" si="0"/>
        <v>184447.67646072005</v>
      </c>
      <c r="N32" s="6">
        <f t="shared" si="0"/>
        <v>245930.23528096007</v>
      </c>
    </row>
    <row r="33" spans="2:14" ht="51">
      <c r="B33" s="1" t="s">
        <v>61</v>
      </c>
      <c r="C33" s="4" t="s">
        <v>31</v>
      </c>
      <c r="D33" s="4"/>
      <c r="E33" s="2">
        <v>111234.9</v>
      </c>
      <c r="F33" s="2"/>
      <c r="G33" s="2">
        <v>78376.2</v>
      </c>
      <c r="H33" s="2">
        <v>32858.7</v>
      </c>
      <c r="I33" s="1"/>
      <c r="J33" s="1"/>
      <c r="K33" s="1"/>
      <c r="L33" s="7"/>
      <c r="M33" s="7"/>
      <c r="N33" s="7"/>
    </row>
    <row r="34" spans="2:14" ht="25.5">
      <c r="B34" s="1" t="s">
        <v>62</v>
      </c>
      <c r="C34" s="3" t="s">
        <v>32</v>
      </c>
      <c r="D34" s="3" t="s">
        <v>51</v>
      </c>
      <c r="E34" s="1"/>
      <c r="F34" s="1">
        <v>815719.552</v>
      </c>
      <c r="G34" s="1">
        <v>574756.7</v>
      </c>
      <c r="H34" s="1">
        <v>240962.9</v>
      </c>
      <c r="I34" s="1">
        <f>H34/H33*(C7+C6)</f>
        <v>44806.49931372818</v>
      </c>
      <c r="J34" s="30">
        <f>I34/C5/12</f>
        <v>1.0479287538409479</v>
      </c>
      <c r="K34" s="42">
        <f>J34*C5*3</f>
        <v>11201.624828432043</v>
      </c>
      <c r="L34" s="7">
        <f>J34*C5*6</f>
        <v>22403.249656864085</v>
      </c>
      <c r="M34" s="7">
        <f>J34*C5*9</f>
        <v>33604.87448529613</v>
      </c>
      <c r="N34" s="7">
        <f>J34*C5*12</f>
        <v>44806.49931372817</v>
      </c>
    </row>
    <row r="35" spans="2:14" ht="25.5">
      <c r="B35" s="1" t="s">
        <v>63</v>
      </c>
      <c r="C35" s="3" t="s">
        <v>311</v>
      </c>
      <c r="D35" s="3" t="s">
        <v>53</v>
      </c>
      <c r="E35" s="1"/>
      <c r="F35" s="1">
        <v>277344.6</v>
      </c>
      <c r="G35" s="1">
        <v>195417.3</v>
      </c>
      <c r="H35" s="1">
        <v>81927.4</v>
      </c>
      <c r="I35" s="1">
        <f>H35/H33*(C7+C6)</f>
        <v>15234.212369935512</v>
      </c>
      <c r="J35" s="30">
        <f>I35/C5/12</f>
        <v>0.3562958371908243</v>
      </c>
      <c r="K35" s="42">
        <f>J35*C5*3</f>
        <v>3808.5530924838777</v>
      </c>
      <c r="L35" s="7">
        <f>J35*C5*6</f>
        <v>7617.106184967755</v>
      </c>
      <c r="M35" s="7">
        <f>J35*C5*9</f>
        <v>11425.659277451634</v>
      </c>
      <c r="N35" s="7">
        <f>J35*C5*12</f>
        <v>15234.21236993551</v>
      </c>
    </row>
    <row r="36" spans="2:14" ht="12.75">
      <c r="B36" s="1" t="s">
        <v>65</v>
      </c>
      <c r="C36" s="3" t="s">
        <v>66</v>
      </c>
      <c r="D36" s="3" t="s">
        <v>536</v>
      </c>
      <c r="E36" s="1"/>
      <c r="F36" s="1">
        <v>115582.34</v>
      </c>
      <c r="G36" s="1">
        <v>81439.4</v>
      </c>
      <c r="H36" s="1">
        <v>34142.9</v>
      </c>
      <c r="I36" s="1">
        <f>H36/H33*(C6+C7)</f>
        <v>6348.794048455966</v>
      </c>
      <c r="J36" s="30">
        <f>I36/C5/12</f>
        <v>0.1484847943377014</v>
      </c>
      <c r="K36" s="42">
        <f>J36*C5*3</f>
        <v>1587.1985121139915</v>
      </c>
      <c r="L36" s="7">
        <f>J36*C5*6</f>
        <v>3174.397024227983</v>
      </c>
      <c r="M36" s="7">
        <f>J36*C5*9</f>
        <v>4761.595536341974</v>
      </c>
      <c r="N36" s="7">
        <f>J36*C5*12</f>
        <v>6348.794048455966</v>
      </c>
    </row>
    <row r="37" spans="2:14" ht="25.5">
      <c r="B37" s="1" t="s">
        <v>67</v>
      </c>
      <c r="C37" s="3" t="s">
        <v>34</v>
      </c>
      <c r="D37" s="3" t="s">
        <v>68</v>
      </c>
      <c r="E37" s="1"/>
      <c r="F37" s="1">
        <v>55220.9</v>
      </c>
      <c r="G37" s="1">
        <v>38908.7</v>
      </c>
      <c r="H37" s="1">
        <v>16312.2</v>
      </c>
      <c r="I37" s="1">
        <f>H37/H33*(C7+C6)</f>
        <v>3033.216225839732</v>
      </c>
      <c r="J37" s="30">
        <f>I37/C5/12</f>
        <v>0.070940478465375</v>
      </c>
      <c r="K37" s="42">
        <f>J37*C5*3</f>
        <v>758.304056459933</v>
      </c>
      <c r="L37" s="7">
        <f>J37*C5*6</f>
        <v>1516.608112919866</v>
      </c>
      <c r="M37" s="7">
        <f>J37*C5*9</f>
        <v>2274.912169379799</v>
      </c>
      <c r="N37" s="7">
        <f>J37*C5*12</f>
        <v>3033.216225839732</v>
      </c>
    </row>
    <row r="38" spans="2:14" ht="25.5">
      <c r="B38" s="1" t="s">
        <v>69</v>
      </c>
      <c r="C38" s="3" t="s">
        <v>35</v>
      </c>
      <c r="D38" s="3"/>
      <c r="E38" s="1"/>
      <c r="F38" s="1"/>
      <c r="G38" s="1"/>
      <c r="H38" s="1"/>
      <c r="I38" s="1"/>
      <c r="J38" s="30"/>
      <c r="K38" s="42"/>
      <c r="L38" s="7"/>
      <c r="M38" s="7"/>
      <c r="N38" s="7"/>
    </row>
    <row r="39" spans="2:14" ht="12.75">
      <c r="B39" s="1" t="s">
        <v>70</v>
      </c>
      <c r="C39" s="3" t="s">
        <v>36</v>
      </c>
      <c r="D39" s="3" t="s">
        <v>71</v>
      </c>
      <c r="E39" s="1"/>
      <c r="F39" s="1"/>
      <c r="G39" s="1"/>
      <c r="H39" s="1"/>
      <c r="I39" s="1"/>
      <c r="J39" s="30"/>
      <c r="K39" s="42"/>
      <c r="L39" s="7"/>
      <c r="M39" s="7"/>
      <c r="N39" s="7"/>
    </row>
    <row r="40" spans="2:14" ht="12.75">
      <c r="B40" s="1" t="s">
        <v>72</v>
      </c>
      <c r="C40" s="3" t="s">
        <v>73</v>
      </c>
      <c r="D40" s="3"/>
      <c r="E40" s="1"/>
      <c r="F40" s="1">
        <v>30500</v>
      </c>
      <c r="G40" s="1">
        <v>21297.8</v>
      </c>
      <c r="H40" s="1">
        <v>9202.2</v>
      </c>
      <c r="I40" s="1">
        <f>H40/H21*C5</f>
        <v>767.2914547675546</v>
      </c>
      <c r="J40" s="30">
        <f>I40/C5/12</f>
        <v>0.017945315754248514</v>
      </c>
      <c r="K40" s="42">
        <f>J40*C5*3</f>
        <v>191.82286369188864</v>
      </c>
      <c r="L40" s="7">
        <f>J40*C5*6</f>
        <v>383.6457273837773</v>
      </c>
      <c r="M40" s="7">
        <f>J40*C5*9</f>
        <v>575.4685910756659</v>
      </c>
      <c r="N40" s="7">
        <f>J40*C5*12</f>
        <v>767.2914547675546</v>
      </c>
    </row>
    <row r="41" spans="2:14" ht="12.75">
      <c r="B41" s="1"/>
      <c r="C41" s="4" t="s">
        <v>60</v>
      </c>
      <c r="D41" s="4"/>
      <c r="E41" s="2"/>
      <c r="F41" s="2">
        <v>1294367.4</v>
      </c>
      <c r="G41" s="2">
        <v>911819.85</v>
      </c>
      <c r="H41" s="2">
        <v>382547.6</v>
      </c>
      <c r="I41" s="2">
        <f aca="true" t="shared" si="1" ref="I41:N41">SUM(I34:I40)</f>
        <v>70190.01341272696</v>
      </c>
      <c r="J41" s="31">
        <f t="shared" si="1"/>
        <v>1.641595179589097</v>
      </c>
      <c r="K41" s="43">
        <f t="shared" si="1"/>
        <v>17547.503353181735</v>
      </c>
      <c r="L41" s="6">
        <f t="shared" si="1"/>
        <v>35095.00670636347</v>
      </c>
      <c r="M41" s="6">
        <f t="shared" si="1"/>
        <v>52642.5100595452</v>
      </c>
      <c r="N41" s="6">
        <f t="shared" si="1"/>
        <v>70190.01341272694</v>
      </c>
    </row>
    <row r="42" spans="2:14" ht="25.5">
      <c r="B42" s="1" t="s">
        <v>74</v>
      </c>
      <c r="C42" s="4" t="s">
        <v>37</v>
      </c>
      <c r="D42" s="4"/>
      <c r="E42" s="2"/>
      <c r="F42" s="2">
        <v>5004925.7</v>
      </c>
      <c r="G42" s="2">
        <v>3548598.7</v>
      </c>
      <c r="H42" s="2">
        <v>1456327</v>
      </c>
      <c r="I42" s="2">
        <f>H42/H21*C5</f>
        <v>121430.44733294957</v>
      </c>
      <c r="J42" s="31">
        <f>I42/C5/12</f>
        <v>2.8399999843991086</v>
      </c>
      <c r="K42" s="43">
        <f>J42*C5*3</f>
        <v>30357.61183323739</v>
      </c>
      <c r="L42" s="6">
        <f>J42*C5*6</f>
        <v>60715.22366647478</v>
      </c>
      <c r="M42" s="6">
        <f>J42*C5*9</f>
        <v>91072.83549971218</v>
      </c>
      <c r="N42" s="6">
        <f>J42*C5*12</f>
        <v>121430.44733294957</v>
      </c>
    </row>
    <row r="43" spans="2:14" ht="38.25">
      <c r="B43" s="1" t="s">
        <v>75</v>
      </c>
      <c r="C43" s="4" t="s">
        <v>38</v>
      </c>
      <c r="D43" s="4"/>
      <c r="E43" s="2">
        <v>141634.46</v>
      </c>
      <c r="F43" s="2"/>
      <c r="G43" s="2">
        <v>98901.86</v>
      </c>
      <c r="H43" s="2">
        <v>42732.6</v>
      </c>
      <c r="I43" s="1"/>
      <c r="J43" s="1"/>
      <c r="K43" s="1"/>
      <c r="L43" s="7"/>
      <c r="M43" s="7"/>
      <c r="N43" s="7"/>
    </row>
    <row r="44" spans="2:14" ht="63.75">
      <c r="B44" s="1" t="s">
        <v>76</v>
      </c>
      <c r="C44" s="3" t="s">
        <v>77</v>
      </c>
      <c r="D44" s="3" t="s">
        <v>51</v>
      </c>
      <c r="E44" s="1"/>
      <c r="F44" s="1">
        <v>558138</v>
      </c>
      <c r="G44" s="1">
        <v>389741.9</v>
      </c>
      <c r="H44" s="1">
        <v>168396.1</v>
      </c>
      <c r="I44" s="1">
        <f>H44/H43*C5</f>
        <v>14041.086756012974</v>
      </c>
      <c r="J44" s="30">
        <f>I44/C5/12</f>
        <v>0.3283911658390394</v>
      </c>
      <c r="K44" s="42">
        <f>J44*C5*3</f>
        <v>3510.2716890032434</v>
      </c>
      <c r="L44" s="7">
        <f>J44*C5*6</f>
        <v>7020.543378006487</v>
      </c>
      <c r="M44" s="7">
        <f>J44*C5*9</f>
        <v>10530.815067009731</v>
      </c>
      <c r="N44" s="7">
        <f>J44*C5*12</f>
        <v>14041.086756012974</v>
      </c>
    </row>
    <row r="45" spans="2:14" ht="89.25">
      <c r="B45" s="1" t="s">
        <v>78</v>
      </c>
      <c r="C45" s="4" t="s">
        <v>461</v>
      </c>
      <c r="D45" s="3" t="s">
        <v>53</v>
      </c>
      <c r="E45" s="1"/>
      <c r="F45" s="1">
        <v>189767</v>
      </c>
      <c r="G45" s="1">
        <v>132512</v>
      </c>
      <c r="H45" s="1">
        <v>57255</v>
      </c>
      <c r="I45" s="1">
        <f>H45/H43*C5</f>
        <v>4773.996679350192</v>
      </c>
      <c r="J45" s="30">
        <f>I45/C5/12</f>
        <v>0.11165363212161207</v>
      </c>
      <c r="K45" s="42">
        <f>J45*C5*3</f>
        <v>1193.499169837548</v>
      </c>
      <c r="L45" s="7">
        <f>J45*C5*6</f>
        <v>2386.998339675096</v>
      </c>
      <c r="M45" s="7">
        <f>J45*C5*9</f>
        <v>3580.497509512644</v>
      </c>
      <c r="N45" s="7">
        <f>J45*C5*12</f>
        <v>4773.996679350192</v>
      </c>
    </row>
    <row r="46" spans="2:14" ht="89.25">
      <c r="B46" s="1" t="s">
        <v>80</v>
      </c>
      <c r="C46" s="29" t="s">
        <v>129</v>
      </c>
      <c r="D46" s="3" t="s">
        <v>536</v>
      </c>
      <c r="E46" s="1"/>
      <c r="F46" s="1">
        <v>111512.16</v>
      </c>
      <c r="G46" s="1">
        <v>77867.8</v>
      </c>
      <c r="H46" s="1">
        <v>33644.4</v>
      </c>
      <c r="I46" s="1">
        <f>H46/H43*C5</f>
        <v>2805.3140141250474</v>
      </c>
      <c r="J46" s="30">
        <f>I46/C5/12</f>
        <v>0.06561033028647918</v>
      </c>
      <c r="K46" s="42">
        <f>J46*C5*3</f>
        <v>701.328503531262</v>
      </c>
      <c r="L46" s="7">
        <f>J46*C5*6</f>
        <v>1402.657007062524</v>
      </c>
      <c r="M46" s="7">
        <f>J46*C5*9</f>
        <v>2103.985510593786</v>
      </c>
      <c r="N46" s="7">
        <f>J46*C5*12</f>
        <v>2805.314014125048</v>
      </c>
    </row>
    <row r="47" spans="2:14" ht="12.75">
      <c r="B47" s="1"/>
      <c r="C47" s="3"/>
      <c r="D47" s="3"/>
      <c r="E47" s="1"/>
      <c r="F47" s="1"/>
      <c r="G47" s="1"/>
      <c r="H47" s="1"/>
      <c r="I47" s="1"/>
      <c r="J47" s="30"/>
      <c r="K47" s="42"/>
      <c r="L47" s="7"/>
      <c r="M47" s="7"/>
      <c r="N47" s="7"/>
    </row>
    <row r="48" spans="2:14" ht="25.5">
      <c r="B48" s="1"/>
      <c r="C48" s="4" t="s">
        <v>247</v>
      </c>
      <c r="D48" s="3" t="s">
        <v>71</v>
      </c>
      <c r="E48" s="1"/>
      <c r="F48" s="1"/>
      <c r="G48" s="1"/>
      <c r="H48" s="1"/>
      <c r="I48" s="1"/>
      <c r="J48" s="30"/>
      <c r="K48" s="42"/>
      <c r="L48" s="7"/>
      <c r="M48" s="7"/>
      <c r="N48" s="7"/>
    </row>
    <row r="49" spans="2:14" ht="12.75">
      <c r="B49" s="1"/>
      <c r="C49" s="4" t="s">
        <v>60</v>
      </c>
      <c r="D49" s="4"/>
      <c r="E49" s="2"/>
      <c r="F49" s="2">
        <v>859417.1</v>
      </c>
      <c r="G49" s="2">
        <v>600121.9</v>
      </c>
      <c r="H49" s="2">
        <v>259295.1</v>
      </c>
      <c r="I49" s="2">
        <f aca="true" t="shared" si="2" ref="I49:N49">SUM(I44:I48)</f>
        <v>21620.397449488213</v>
      </c>
      <c r="J49" s="31">
        <f t="shared" si="2"/>
        <v>0.5056551282471307</v>
      </c>
      <c r="K49" s="43">
        <f t="shared" si="2"/>
        <v>5405.099362372053</v>
      </c>
      <c r="L49" s="6">
        <f t="shared" si="2"/>
        <v>10810.198724744107</v>
      </c>
      <c r="M49" s="6">
        <f t="shared" si="2"/>
        <v>16215.29808711616</v>
      </c>
      <c r="N49" s="6">
        <f t="shared" si="2"/>
        <v>21620.397449488213</v>
      </c>
    </row>
    <row r="50" spans="2:14" ht="38.25">
      <c r="B50" s="1" t="s">
        <v>81</v>
      </c>
      <c r="C50" s="4" t="s">
        <v>39</v>
      </c>
      <c r="D50" s="4"/>
      <c r="E50" s="2">
        <v>141634.46</v>
      </c>
      <c r="F50" s="2"/>
      <c r="G50" s="2">
        <v>98901.86</v>
      </c>
      <c r="H50" s="2">
        <v>42732.6</v>
      </c>
      <c r="I50" s="1"/>
      <c r="J50" s="1"/>
      <c r="K50" s="1"/>
      <c r="L50" s="7"/>
      <c r="M50" s="7"/>
      <c r="N50" s="7"/>
    </row>
    <row r="51" spans="2:14" ht="38.25">
      <c r="B51" s="1" t="s">
        <v>82</v>
      </c>
      <c r="C51" s="3" t="s">
        <v>83</v>
      </c>
      <c r="D51" s="3" t="s">
        <v>51</v>
      </c>
      <c r="E51" s="1"/>
      <c r="F51" s="1">
        <v>667518.8</v>
      </c>
      <c r="G51" s="1">
        <v>466121.4</v>
      </c>
      <c r="H51" s="1">
        <v>201397.4</v>
      </c>
      <c r="I51" s="1">
        <f>H51/H50*C5</f>
        <v>16792.778252200897</v>
      </c>
      <c r="J51" s="30">
        <f>I51/C5/12</f>
        <v>0.3927473794402088</v>
      </c>
      <c r="K51" s="42">
        <f>J51*C5*3</f>
        <v>4198.194563050224</v>
      </c>
      <c r="L51" s="7">
        <f>J51*C5*6</f>
        <v>8396.389126100448</v>
      </c>
      <c r="M51" s="7">
        <f>J51*C5*9</f>
        <v>12594.583689150671</v>
      </c>
      <c r="N51" s="44">
        <f>J51*C5*12</f>
        <v>16792.778252200897</v>
      </c>
    </row>
    <row r="52" spans="2:14" ht="38.25">
      <c r="B52" s="1" t="s">
        <v>84</v>
      </c>
      <c r="C52" s="3" t="s">
        <v>85</v>
      </c>
      <c r="D52" s="3" t="s">
        <v>53</v>
      </c>
      <c r="E52" s="1"/>
      <c r="F52" s="1">
        <v>226956</v>
      </c>
      <c r="G52" s="1">
        <v>158481.3</v>
      </c>
      <c r="H52" s="1">
        <v>68475.1</v>
      </c>
      <c r="I52" s="1">
        <f>H52/H50*C5</f>
        <v>5709.543271647408</v>
      </c>
      <c r="J52" s="30">
        <f>I52/C5/12</f>
        <v>0.1335340778078875</v>
      </c>
      <c r="K52" s="42">
        <f>J52*C5*3</f>
        <v>1427.385817911852</v>
      </c>
      <c r="L52" s="7">
        <f>J52*C5*6</f>
        <v>2854.771635823704</v>
      </c>
      <c r="M52" s="7">
        <f>J52*C5*9</f>
        <v>4282.1574537355555</v>
      </c>
      <c r="N52" s="44">
        <f>J52*C5*12</f>
        <v>5709.543271647408</v>
      </c>
    </row>
    <row r="53" spans="2:14" ht="51">
      <c r="B53" s="1" t="s">
        <v>86</v>
      </c>
      <c r="C53" s="3" t="s">
        <v>87</v>
      </c>
      <c r="D53" s="3" t="s">
        <v>536</v>
      </c>
      <c r="E53" s="1"/>
      <c r="F53" s="1">
        <v>446048.65</v>
      </c>
      <c r="G53" s="1">
        <v>311471.1</v>
      </c>
      <c r="H53" s="1">
        <v>134577.5</v>
      </c>
      <c r="I53" s="1">
        <f>H53/H50*C5</f>
        <v>11221.247718369583</v>
      </c>
      <c r="J53" s="30">
        <f>I53/C5/12</f>
        <v>0.2624411261347699</v>
      </c>
      <c r="K53" s="42">
        <f>J53*C5*3</f>
        <v>2805.3119295923957</v>
      </c>
      <c r="L53" s="7">
        <f>J53*C5*6</f>
        <v>5610.623859184791</v>
      </c>
      <c r="M53" s="7">
        <f>J53*C5*9</f>
        <v>8415.935788777188</v>
      </c>
      <c r="N53" s="44">
        <f>J53*C5*12</f>
        <v>11221.247718369583</v>
      </c>
    </row>
    <row r="54" spans="2:14" ht="38.25">
      <c r="B54" s="1" t="s">
        <v>88</v>
      </c>
      <c r="C54" s="3" t="s">
        <v>130</v>
      </c>
      <c r="D54" s="3"/>
      <c r="E54" s="1"/>
      <c r="F54" s="1"/>
      <c r="G54" s="1"/>
      <c r="H54" s="1"/>
      <c r="I54" s="1"/>
      <c r="J54" s="30"/>
      <c r="K54" s="42"/>
      <c r="L54" s="7"/>
      <c r="M54" s="7"/>
      <c r="N54" s="44"/>
    </row>
    <row r="55" spans="2:14" ht="38.25">
      <c r="B55" s="1" t="s">
        <v>89</v>
      </c>
      <c r="C55" s="3" t="s">
        <v>90</v>
      </c>
      <c r="D55" s="3" t="s">
        <v>71</v>
      </c>
      <c r="E55" s="1"/>
      <c r="F55" s="1"/>
      <c r="G55" s="1"/>
      <c r="H55" s="1"/>
      <c r="I55" s="1"/>
      <c r="J55" s="30"/>
      <c r="K55" s="42"/>
      <c r="L55" s="7"/>
      <c r="M55" s="7"/>
      <c r="N55" s="6"/>
    </row>
    <row r="56" spans="2:14" ht="63.75">
      <c r="B56" s="1" t="s">
        <v>91</v>
      </c>
      <c r="C56" s="3" t="s">
        <v>92</v>
      </c>
      <c r="D56" s="3"/>
      <c r="E56" s="1"/>
      <c r="F56" s="1"/>
      <c r="G56" s="1"/>
      <c r="H56" s="1"/>
      <c r="I56" s="1"/>
      <c r="J56" s="30"/>
      <c r="K56" s="42"/>
      <c r="L56" s="7"/>
      <c r="M56" s="7"/>
      <c r="N56" s="6"/>
    </row>
    <row r="57" spans="2:14" ht="25.5">
      <c r="B57" s="1" t="s">
        <v>93</v>
      </c>
      <c r="C57" s="3" t="s">
        <v>94</v>
      </c>
      <c r="D57" s="3"/>
      <c r="E57" s="1"/>
      <c r="F57" s="1"/>
      <c r="G57" s="1"/>
      <c r="H57" s="1"/>
      <c r="I57" s="1"/>
      <c r="J57" s="30"/>
      <c r="K57" s="42"/>
      <c r="L57" s="7"/>
      <c r="M57" s="7"/>
      <c r="N57" s="6"/>
    </row>
    <row r="58" spans="2:14" ht="12.75">
      <c r="B58" s="1"/>
      <c r="C58" s="4" t="s">
        <v>60</v>
      </c>
      <c r="D58" s="4"/>
      <c r="E58" s="2"/>
      <c r="F58" s="2">
        <v>1340523.8</v>
      </c>
      <c r="G58" s="2">
        <v>936073.8</v>
      </c>
      <c r="H58" s="2">
        <v>404450.1</v>
      </c>
      <c r="I58" s="2">
        <f aca="true" t="shared" si="3" ref="I58:N58">SUM(I51:I57)</f>
        <v>33723.56924221788</v>
      </c>
      <c r="J58" s="31">
        <f t="shared" si="3"/>
        <v>0.7887225833828662</v>
      </c>
      <c r="K58" s="43">
        <f t="shared" si="3"/>
        <v>8430.89231055447</v>
      </c>
      <c r="L58" s="6">
        <f t="shared" si="3"/>
        <v>16861.78462110894</v>
      </c>
      <c r="M58" s="6">
        <f t="shared" si="3"/>
        <v>25292.676931663413</v>
      </c>
      <c r="N58" s="6">
        <f t="shared" si="3"/>
        <v>33723.56924221788</v>
      </c>
    </row>
    <row r="59" spans="2:14" ht="38.25">
      <c r="B59" s="1" t="s">
        <v>95</v>
      </c>
      <c r="C59" s="4" t="s">
        <v>481</v>
      </c>
      <c r="D59" s="4"/>
      <c r="E59" s="2">
        <v>141634.46</v>
      </c>
      <c r="F59" s="2"/>
      <c r="G59" s="2">
        <v>98901.86</v>
      </c>
      <c r="H59" s="2">
        <v>42732.6</v>
      </c>
      <c r="I59" s="1"/>
      <c r="J59" s="1"/>
      <c r="K59" s="1"/>
      <c r="L59" s="7"/>
      <c r="M59" s="7"/>
      <c r="N59" s="7"/>
    </row>
    <row r="60" spans="2:14" ht="25.5">
      <c r="B60" s="1" t="s">
        <v>96</v>
      </c>
      <c r="C60" s="3" t="s">
        <v>97</v>
      </c>
      <c r="D60" s="3" t="s">
        <v>51</v>
      </c>
      <c r="E60" s="1"/>
      <c r="F60" s="1">
        <v>3033160.58</v>
      </c>
      <c r="G60" s="1">
        <v>2118024.3</v>
      </c>
      <c r="H60" s="1">
        <v>915136.3</v>
      </c>
      <c r="I60" s="1">
        <f>H60/H59*C5</f>
        <v>76305.25993105966</v>
      </c>
      <c r="J60" s="30">
        <f>I60/C5/12</f>
        <v>1.784617793753091</v>
      </c>
      <c r="K60" s="42">
        <f>J60*C5*3</f>
        <v>19076.314982764914</v>
      </c>
      <c r="L60" s="44">
        <f>J60*C5*6</f>
        <v>38152.62996552983</v>
      </c>
      <c r="M60" s="7">
        <f>J60*C5*9</f>
        <v>57228.94494829474</v>
      </c>
      <c r="N60" s="7">
        <f>J60*C5*12</f>
        <v>76305.25993105966</v>
      </c>
    </row>
    <row r="61" spans="2:14" ht="25.5">
      <c r="B61" s="1" t="s">
        <v>98</v>
      </c>
      <c r="C61" s="3" t="s">
        <v>99</v>
      </c>
      <c r="D61" s="3" t="s">
        <v>53</v>
      </c>
      <c r="E61" s="1"/>
      <c r="F61" s="1">
        <v>1031274.6</v>
      </c>
      <c r="G61" s="1">
        <v>720128.3</v>
      </c>
      <c r="H61" s="1">
        <v>311146.3</v>
      </c>
      <c r="I61" s="1">
        <f>H61/H59*C5</f>
        <v>25943.78487454543</v>
      </c>
      <c r="J61" s="30">
        <f>I61/C5/12</f>
        <v>0.6067699679713693</v>
      </c>
      <c r="K61" s="42">
        <f>J61*C5*3</f>
        <v>6485.946218636358</v>
      </c>
      <c r="L61" s="44">
        <f>J61*C5*6</f>
        <v>12971.892437272716</v>
      </c>
      <c r="M61" s="7">
        <f>J61*C5*9</f>
        <v>19457.838655909072</v>
      </c>
      <c r="N61" s="7">
        <f>J61*C5*12</f>
        <v>25943.784874545432</v>
      </c>
    </row>
    <row r="62" spans="2:14" ht="12.75">
      <c r="B62" s="1" t="s">
        <v>100</v>
      </c>
      <c r="C62" s="3" t="s">
        <v>101</v>
      </c>
      <c r="D62" s="3" t="s">
        <v>536</v>
      </c>
      <c r="E62" s="1"/>
      <c r="F62" s="1">
        <v>719534.71</v>
      </c>
      <c r="G62" s="1">
        <v>502443.6</v>
      </c>
      <c r="H62" s="1">
        <v>217091.2</v>
      </c>
      <c r="I62" s="1">
        <f>H62/H59*C5</f>
        <v>18101.34779348788</v>
      </c>
      <c r="J62" s="30">
        <f>I62/C5/12</f>
        <v>0.423352038802538</v>
      </c>
      <c r="K62" s="42">
        <f>J62*C5*3</f>
        <v>4525.33694837197</v>
      </c>
      <c r="L62" s="44">
        <f>J62*C5*6</f>
        <v>9050.67389674394</v>
      </c>
      <c r="M62" s="7">
        <f>J62*C5*9</f>
        <v>13576.01084511591</v>
      </c>
      <c r="N62" s="7">
        <f>J62*C5*12</f>
        <v>18101.34779348788</v>
      </c>
    </row>
    <row r="63" spans="2:14" ht="25.5">
      <c r="B63" s="1" t="s">
        <v>102</v>
      </c>
      <c r="C63" s="3" t="s">
        <v>103</v>
      </c>
      <c r="D63" s="3"/>
      <c r="E63" s="1"/>
      <c r="F63" s="1"/>
      <c r="G63" s="1"/>
      <c r="H63" s="1"/>
      <c r="I63" s="1"/>
      <c r="J63" s="30"/>
      <c r="K63" s="42"/>
      <c r="L63" s="44"/>
      <c r="M63" s="7"/>
      <c r="N63" s="7"/>
    </row>
    <row r="64" spans="2:14" ht="63.75">
      <c r="B64" s="1" t="s">
        <v>104</v>
      </c>
      <c r="C64" s="4" t="s">
        <v>415</v>
      </c>
      <c r="D64" s="3" t="s">
        <v>71</v>
      </c>
      <c r="E64" s="1"/>
      <c r="F64" s="1"/>
      <c r="G64" s="1"/>
      <c r="H64" s="1"/>
      <c r="I64" s="1"/>
      <c r="J64" s="30"/>
      <c r="K64" s="42"/>
      <c r="L64" s="44"/>
      <c r="M64" s="7"/>
      <c r="N64" s="7"/>
    </row>
    <row r="65" spans="2:14" ht="51">
      <c r="B65" s="1" t="s">
        <v>105</v>
      </c>
      <c r="C65" s="3" t="s">
        <v>106</v>
      </c>
      <c r="D65" s="3" t="s">
        <v>107</v>
      </c>
      <c r="E65" s="3" t="s">
        <v>108</v>
      </c>
      <c r="F65" s="1">
        <v>71968.71</v>
      </c>
      <c r="G65" s="1">
        <v>32713.05</v>
      </c>
      <c r="H65" s="1">
        <v>39255.66</v>
      </c>
      <c r="I65" s="1">
        <f>H65/6*C12</f>
        <v>13085.220000000001</v>
      </c>
      <c r="J65" s="30">
        <f>I65/C5/12</f>
        <v>0.30603547472706355</v>
      </c>
      <c r="K65" s="42">
        <f>J65*C5*3</f>
        <v>3271.3050000000003</v>
      </c>
      <c r="L65" s="44">
        <f>J65*C5*6</f>
        <v>6542.610000000001</v>
      </c>
      <c r="M65" s="7">
        <f>J65*C5*9</f>
        <v>9813.915</v>
      </c>
      <c r="N65" s="7">
        <f>J65*C5*12</f>
        <v>13085.220000000001</v>
      </c>
    </row>
    <row r="66" spans="2:14" ht="12.75">
      <c r="B66" s="1"/>
      <c r="C66" s="4" t="s">
        <v>60</v>
      </c>
      <c r="D66" s="4"/>
      <c r="E66" s="2"/>
      <c r="F66" s="2">
        <v>4855938.6</v>
      </c>
      <c r="G66" s="2">
        <v>3373309.1</v>
      </c>
      <c r="H66" s="2">
        <v>1482629.5</v>
      </c>
      <c r="I66" s="2">
        <f aca="true" t="shared" si="4" ref="I66:N66">SUM(I60:I65)</f>
        <v>133435.61259909294</v>
      </c>
      <c r="J66" s="31">
        <f t="shared" si="4"/>
        <v>3.120775275254062</v>
      </c>
      <c r="K66" s="43">
        <f t="shared" si="4"/>
        <v>33358.903149773236</v>
      </c>
      <c r="L66" s="6">
        <f t="shared" si="4"/>
        <v>66717.80629954647</v>
      </c>
      <c r="M66" s="6">
        <f t="shared" si="4"/>
        <v>100076.70944931972</v>
      </c>
      <c r="N66" s="6">
        <f t="shared" si="4"/>
        <v>133435.61259909294</v>
      </c>
    </row>
    <row r="67" spans="2:14" ht="12.75">
      <c r="B67" s="1" t="s">
        <v>109</v>
      </c>
      <c r="C67" s="4" t="s">
        <v>482</v>
      </c>
      <c r="D67" s="4"/>
      <c r="E67" s="2">
        <v>141634.46</v>
      </c>
      <c r="F67" s="2"/>
      <c r="G67" s="2">
        <v>98901.86</v>
      </c>
      <c r="H67" s="2">
        <v>42732.6</v>
      </c>
      <c r="I67" s="1"/>
      <c r="J67" s="1"/>
      <c r="K67" s="1"/>
      <c r="L67" s="7"/>
      <c r="M67" s="7"/>
      <c r="N67" s="7"/>
    </row>
    <row r="68" spans="2:14" ht="63.75">
      <c r="B68" s="1" t="s">
        <v>110</v>
      </c>
      <c r="C68" s="3" t="s">
        <v>483</v>
      </c>
      <c r="D68" s="3" t="s">
        <v>111</v>
      </c>
      <c r="E68" s="1"/>
      <c r="F68" s="1">
        <v>277923.9</v>
      </c>
      <c r="G68" s="1">
        <v>194071.3</v>
      </c>
      <c r="H68" s="1">
        <v>83852.6</v>
      </c>
      <c r="I68" s="1">
        <f>H68/H67*C5</f>
        <v>6991.739305822722</v>
      </c>
      <c r="J68" s="30">
        <f>I68/C5/12</f>
        <v>0.16352191691277077</v>
      </c>
      <c r="K68" s="42">
        <f>J68*C5*3</f>
        <v>1747.9348264556804</v>
      </c>
      <c r="L68" s="7">
        <f>J68*C5*6</f>
        <v>3495.869652911361</v>
      </c>
      <c r="M68" s="7">
        <f>J68*C5*9</f>
        <v>5243.8044793670415</v>
      </c>
      <c r="N68" s="7">
        <f>J68*C5*12</f>
        <v>6991.739305822722</v>
      </c>
    </row>
    <row r="69" spans="2:14" ht="25.5">
      <c r="B69" s="1"/>
      <c r="C69" s="3"/>
      <c r="D69" s="3" t="s">
        <v>53</v>
      </c>
      <c r="E69" s="1"/>
      <c r="F69" s="1">
        <v>94494.1</v>
      </c>
      <c r="G69" s="1">
        <v>65984.3</v>
      </c>
      <c r="H69" s="1">
        <v>28509.9</v>
      </c>
      <c r="I69" s="1">
        <f>H69/H67*C5</f>
        <v>2377.1926980806224</v>
      </c>
      <c r="J69" s="30">
        <f>I69/C5/12</f>
        <v>0.05559748295212555</v>
      </c>
      <c r="K69" s="42">
        <f>J69*C5*3</f>
        <v>594.2981745201556</v>
      </c>
      <c r="L69" s="7">
        <f>J69*C5*6</f>
        <v>1188.5963490403112</v>
      </c>
      <c r="M69" s="7">
        <f>J69*C5*9</f>
        <v>1782.894523560467</v>
      </c>
      <c r="N69" s="7">
        <f>J69*C5*12</f>
        <v>2377.1926980806224</v>
      </c>
    </row>
    <row r="70" spans="2:14" ht="12.75">
      <c r="B70" s="1"/>
      <c r="C70" s="3"/>
      <c r="D70" s="3" t="s">
        <v>536</v>
      </c>
      <c r="E70" s="1"/>
      <c r="F70" s="1">
        <v>79948</v>
      </c>
      <c r="G70" s="1">
        <v>55826.9</v>
      </c>
      <c r="H70" s="1">
        <v>24121.1</v>
      </c>
      <c r="I70" s="1">
        <f>H70/H67*C5</f>
        <v>2011.248821976664</v>
      </c>
      <c r="J70" s="30">
        <f>I70/C5/12</f>
        <v>0.04703883373973656</v>
      </c>
      <c r="K70" s="42">
        <f>J70*C5*3</f>
        <v>502.81220549416605</v>
      </c>
      <c r="L70" s="7">
        <f>J70*C5*6</f>
        <v>1005.6244109883321</v>
      </c>
      <c r="M70" s="7">
        <f>J70*C5*9</f>
        <v>1508.436616482498</v>
      </c>
      <c r="N70" s="7">
        <f>J70*C5*12</f>
        <v>2011.2488219766642</v>
      </c>
    </row>
    <row r="71" spans="2:14" ht="25.5">
      <c r="B71" s="1"/>
      <c r="C71" s="3"/>
      <c r="D71" s="3" t="s">
        <v>112</v>
      </c>
      <c r="E71" s="1"/>
      <c r="F71" s="1">
        <v>882609.2</v>
      </c>
      <c r="G71" s="1">
        <v>344178.5</v>
      </c>
      <c r="H71" s="1">
        <v>538430.8</v>
      </c>
      <c r="I71" s="1">
        <f>H71/H67*C5</f>
        <v>44895.06333525225</v>
      </c>
      <c r="J71" s="30">
        <f>I71/C5/12</f>
        <v>1.050000078004459</v>
      </c>
      <c r="K71" s="42">
        <f>J71*C5*3</f>
        <v>11223.765833813062</v>
      </c>
      <c r="L71" s="7">
        <f>J71*C5*6</f>
        <v>22447.531667626125</v>
      </c>
      <c r="M71" s="7">
        <f>J71*C5*9</f>
        <v>33671.297501439185</v>
      </c>
      <c r="N71" s="7">
        <f>J71*C5*12</f>
        <v>44895.06333525225</v>
      </c>
    </row>
    <row r="72" spans="2:14" ht="12.75">
      <c r="B72" s="1"/>
      <c r="C72" s="3"/>
      <c r="D72" s="3"/>
      <c r="E72" s="1"/>
      <c r="F72" s="1"/>
      <c r="G72" s="1"/>
      <c r="H72" s="1"/>
      <c r="I72" s="1"/>
      <c r="J72" s="30"/>
      <c r="K72" s="42"/>
      <c r="L72" s="7"/>
      <c r="M72" s="7"/>
      <c r="N72" s="7"/>
    </row>
    <row r="73" spans="2:14" ht="12.75">
      <c r="B73" s="1"/>
      <c r="C73" s="4" t="s">
        <v>60</v>
      </c>
      <c r="D73" s="4"/>
      <c r="E73" s="2"/>
      <c r="F73" s="2">
        <v>1334975.3</v>
      </c>
      <c r="G73" s="2">
        <v>660060.9</v>
      </c>
      <c r="H73" s="2">
        <v>674914.3</v>
      </c>
      <c r="I73" s="2">
        <f aca="true" t="shared" si="5" ref="I73:N73">SUM(I68:I72)</f>
        <v>56275.24416113226</v>
      </c>
      <c r="J73" s="31">
        <f t="shared" si="5"/>
        <v>1.3161583116090918</v>
      </c>
      <c r="K73" s="43">
        <f t="shared" si="5"/>
        <v>14068.811040283064</v>
      </c>
      <c r="L73" s="6">
        <f t="shared" si="5"/>
        <v>28137.62208056613</v>
      </c>
      <c r="M73" s="6">
        <f t="shared" si="5"/>
        <v>42206.43312084919</v>
      </c>
      <c r="N73" s="6">
        <f t="shared" si="5"/>
        <v>56275.24416113226</v>
      </c>
    </row>
    <row r="74" spans="2:14" ht="12.75">
      <c r="B74" s="1" t="s">
        <v>113</v>
      </c>
      <c r="C74" s="4" t="s">
        <v>484</v>
      </c>
      <c r="D74" s="4"/>
      <c r="E74" s="2">
        <v>15</v>
      </c>
      <c r="F74" s="2">
        <v>1600212</v>
      </c>
      <c r="G74" s="2"/>
      <c r="H74" s="2">
        <v>1600212</v>
      </c>
      <c r="I74" s="2">
        <f>I75+I76</f>
        <v>125278.59599999999</v>
      </c>
      <c r="J74" s="31">
        <f>J75+J76</f>
        <v>2.9299999999999997</v>
      </c>
      <c r="K74" s="2">
        <f>J74*C5*3</f>
        <v>31319.648999999994</v>
      </c>
      <c r="L74" s="6">
        <f>J74*C5*6</f>
        <v>62639.29799999999</v>
      </c>
      <c r="M74" s="6">
        <f>J74*C5*9</f>
        <v>93958.94699999999</v>
      </c>
      <c r="N74" s="6">
        <f>J74*C5*12</f>
        <v>125278.59599999998</v>
      </c>
    </row>
    <row r="75" spans="2:14" ht="12.75">
      <c r="B75" s="1"/>
      <c r="C75" s="3" t="s">
        <v>114</v>
      </c>
      <c r="D75" s="3"/>
      <c r="E75" s="1"/>
      <c r="F75" s="1">
        <v>1431000</v>
      </c>
      <c r="G75" s="1"/>
      <c r="H75" s="1">
        <v>1431000</v>
      </c>
      <c r="I75" s="1">
        <f>2.79*C5*12</f>
        <v>119292.58799999999</v>
      </c>
      <c r="J75" s="30">
        <f>I75/C5/12</f>
        <v>2.7899999999999996</v>
      </c>
      <c r="K75" s="1">
        <f>J75*C5*3</f>
        <v>29823.146999999997</v>
      </c>
      <c r="L75" s="7">
        <f>J75*C5*6</f>
        <v>59646.293999999994</v>
      </c>
      <c r="M75" s="7">
        <f>J75*C5*9</f>
        <v>89469.44099999999</v>
      </c>
      <c r="N75" s="7">
        <f>J75*C5*12</f>
        <v>119292.58799999999</v>
      </c>
    </row>
    <row r="76" spans="2:14" ht="12.75">
      <c r="B76" s="1"/>
      <c r="C76" s="3" t="s">
        <v>115</v>
      </c>
      <c r="D76" s="3"/>
      <c r="E76" s="1"/>
      <c r="F76" s="1">
        <v>169212</v>
      </c>
      <c r="G76" s="1"/>
      <c r="H76" s="1">
        <v>169212</v>
      </c>
      <c r="I76" s="1">
        <f>0.14*C5*12</f>
        <v>5986.008000000001</v>
      </c>
      <c r="J76" s="30">
        <f>I76/C5/12</f>
        <v>0.14</v>
      </c>
      <c r="K76" s="1">
        <f>J76*C5*3</f>
        <v>1496.5020000000002</v>
      </c>
      <c r="L76" s="7">
        <f>J76*C5*6</f>
        <v>2993.0040000000004</v>
      </c>
      <c r="M76" s="7">
        <f>J76*C5*9</f>
        <v>4489.506</v>
      </c>
      <c r="N76" s="7">
        <f>J76*C5*12</f>
        <v>5986.008000000001</v>
      </c>
    </row>
    <row r="77" spans="2:14" ht="12.75">
      <c r="B77" s="1" t="s">
        <v>116</v>
      </c>
      <c r="C77" s="3" t="s">
        <v>485</v>
      </c>
      <c r="D77" s="3"/>
      <c r="E77" s="1"/>
      <c r="F77" s="1"/>
      <c r="G77" s="1"/>
      <c r="H77" s="1"/>
      <c r="I77" s="1"/>
      <c r="J77" s="1"/>
      <c r="K77" s="1"/>
      <c r="L77" s="7"/>
      <c r="M77" s="7"/>
      <c r="N77" s="7"/>
    </row>
    <row r="78" spans="2:14" ht="12.75">
      <c r="B78" s="1"/>
      <c r="C78" s="3"/>
      <c r="D78" s="3"/>
      <c r="E78" s="1"/>
      <c r="F78" s="1"/>
      <c r="G78" s="1"/>
      <c r="H78" s="1"/>
      <c r="I78" s="1"/>
      <c r="J78" s="1"/>
      <c r="K78" s="1"/>
      <c r="L78" s="7"/>
      <c r="M78" s="7"/>
      <c r="N78" s="7"/>
    </row>
    <row r="79" spans="2:14" ht="12.75">
      <c r="B79" s="2" t="s">
        <v>117</v>
      </c>
      <c r="C79" s="4"/>
      <c r="D79" s="4"/>
      <c r="E79" s="2"/>
      <c r="F79" s="2">
        <v>19547580.6</v>
      </c>
      <c r="G79" s="2">
        <v>11502035</v>
      </c>
      <c r="H79" s="2">
        <v>8045545.6</v>
      </c>
      <c r="I79" s="2">
        <f>I32+I41+I42+I49+I58+I66+I73+I74</f>
        <v>807884.1154785679</v>
      </c>
      <c r="J79" s="31">
        <f>J32+J41+J42+J49+J58+J66+J73+J74</f>
        <v>18.89469178240315</v>
      </c>
      <c r="K79" s="43">
        <f>J79*C5*3</f>
        <v>201971.028869642</v>
      </c>
      <c r="L79" s="6">
        <f>L32+L41+L42+L49+L58+L66+L73+L74</f>
        <v>403942.05773928395</v>
      </c>
      <c r="M79" s="6">
        <f>M32+M41+M42+M49+M58+M66+M73+M74</f>
        <v>605913.0866089258</v>
      </c>
      <c r="N79" s="6">
        <f>N32+N41+N42+N49+N58+N66+N73+N74</f>
        <v>807884.1154785679</v>
      </c>
    </row>
    <row r="80" spans="2:14" ht="12.75">
      <c r="B80" s="1"/>
      <c r="C80" s="3" t="s">
        <v>118</v>
      </c>
      <c r="D80" s="3"/>
      <c r="E80" s="1"/>
      <c r="F80" s="1">
        <v>1724360</v>
      </c>
      <c r="G80" s="1">
        <v>1204102.5</v>
      </c>
      <c r="H80" s="1">
        <v>520257.5</v>
      </c>
      <c r="I80" s="1">
        <f>H80/H79*I79</f>
        <v>52241.05251589041</v>
      </c>
      <c r="J80" s="30">
        <f>I80/C5/12</f>
        <v>1.2218071463026208</v>
      </c>
      <c r="K80" s="42">
        <f>J80*C5*3</f>
        <v>13060.263128972605</v>
      </c>
      <c r="L80" s="7">
        <f>J80*C5*6</f>
        <v>26120.52625794521</v>
      </c>
      <c r="M80" s="7">
        <f>J80*C5*9</f>
        <v>39180.789386917815</v>
      </c>
      <c r="N80" s="7">
        <f>J80*C5*12</f>
        <v>52241.05251589042</v>
      </c>
    </row>
    <row r="81" spans="2:14" ht="25.5">
      <c r="B81" s="1"/>
      <c r="C81" s="3" t="s">
        <v>119</v>
      </c>
      <c r="D81" s="3"/>
      <c r="E81" s="1"/>
      <c r="F81" s="1">
        <v>5396925.11</v>
      </c>
      <c r="G81" s="1">
        <v>3223686.7</v>
      </c>
      <c r="H81" s="1">
        <v>2173238.4</v>
      </c>
      <c r="I81" s="1">
        <f>H81/(H79+H80)*(I79+I80)</f>
        <v>218223.2094375375</v>
      </c>
      <c r="J81" s="30">
        <f>I81/C5/12</f>
        <v>5.103776894594069</v>
      </c>
      <c r="K81" s="42">
        <f>C5*3</f>
        <v>10689.3</v>
      </c>
      <c r="L81" s="7">
        <f>J81*C5*6</f>
        <v>109111.60471876877</v>
      </c>
      <c r="M81" s="7">
        <f>J81*C5*9</f>
        <v>163667.40707815313</v>
      </c>
      <c r="N81" s="7">
        <f>J81*C5*12</f>
        <v>218223.20943753753</v>
      </c>
    </row>
    <row r="82" spans="2:14" ht="12.75">
      <c r="B82" s="2" t="s">
        <v>590</v>
      </c>
      <c r="C82" s="4"/>
      <c r="D82" s="4"/>
      <c r="E82" s="2"/>
      <c r="F82" s="2">
        <v>26668865.67</v>
      </c>
      <c r="G82" s="2">
        <v>15929824.3</v>
      </c>
      <c r="H82" s="2">
        <v>10739041.4</v>
      </c>
      <c r="I82" s="2">
        <f>I79+I80+I81</f>
        <v>1078348.377431996</v>
      </c>
      <c r="J82" s="31">
        <f>J79+J80+J81</f>
        <v>25.22027582329984</v>
      </c>
      <c r="K82" s="43">
        <f>J82*C5*3</f>
        <v>269587.094357999</v>
      </c>
      <c r="L82" s="6">
        <f>SUM(L79:L81)</f>
        <v>539174.188715998</v>
      </c>
      <c r="M82" s="6">
        <f>SUM(M79:M81)</f>
        <v>808761.2830739968</v>
      </c>
      <c r="N82" s="6">
        <f>SUM(N79:N81)</f>
        <v>1078348.377431996</v>
      </c>
    </row>
    <row r="83" spans="2:14" ht="12.75">
      <c r="B83" s="1" t="s">
        <v>120</v>
      </c>
      <c r="C83" s="3"/>
      <c r="D83" s="3"/>
      <c r="E83" s="1"/>
      <c r="F83" s="1">
        <v>1333443.28</v>
      </c>
      <c r="G83" s="1">
        <v>796491.2</v>
      </c>
      <c r="H83" s="1">
        <v>536952.07</v>
      </c>
      <c r="I83" s="1"/>
      <c r="J83" s="30"/>
      <c r="K83" s="42"/>
      <c r="L83" s="7"/>
      <c r="M83" s="7"/>
      <c r="N83" s="7"/>
    </row>
    <row r="84" spans="2:14" ht="25.5">
      <c r="B84" s="1"/>
      <c r="C84" s="4" t="s">
        <v>121</v>
      </c>
      <c r="D84" s="4"/>
      <c r="E84" s="2"/>
      <c r="F84" s="2">
        <v>28002308.95</v>
      </c>
      <c r="G84" s="2">
        <v>16726315.5</v>
      </c>
      <c r="H84" s="2">
        <v>11275993.5</v>
      </c>
      <c r="I84" s="2">
        <f>I82+I83</f>
        <v>1078348.377431996</v>
      </c>
      <c r="J84" s="31">
        <f>J82+J83</f>
        <v>25.22027582329984</v>
      </c>
      <c r="K84" s="2">
        <f>J84*C5*3</f>
        <v>269587.094357999</v>
      </c>
      <c r="L84" s="6">
        <f>L82+L83</f>
        <v>539174.188715998</v>
      </c>
      <c r="M84" s="6">
        <f>M82+M83</f>
        <v>808761.2830739968</v>
      </c>
      <c r="N84" s="6">
        <f>N82+N83</f>
        <v>1078348.377431996</v>
      </c>
    </row>
    <row r="85" spans="2:14" ht="12.75">
      <c r="B85" s="1"/>
      <c r="C85" s="3"/>
      <c r="D85" s="3"/>
      <c r="E85" s="1"/>
      <c r="F85" s="1"/>
      <c r="G85" s="1"/>
      <c r="H85" s="1"/>
      <c r="I85" s="1"/>
      <c r="J85" s="1"/>
      <c r="K85" s="1"/>
      <c r="L85" s="7"/>
      <c r="M85" s="7"/>
      <c r="N85" s="7"/>
    </row>
    <row r="86" spans="2:14" ht="12.75">
      <c r="B86" s="1"/>
      <c r="C86" s="3" t="s">
        <v>514</v>
      </c>
      <c r="D86" s="3"/>
      <c r="E86" s="1"/>
      <c r="F86" s="1"/>
      <c r="G86" s="1"/>
      <c r="H86" s="1"/>
      <c r="I86" s="1"/>
      <c r="J86" s="1">
        <v>19.33</v>
      </c>
      <c r="K86" s="1"/>
      <c r="L86" s="1"/>
      <c r="M86" s="7"/>
      <c r="N86" s="7"/>
    </row>
    <row r="87" spans="2:14" ht="12.75">
      <c r="B87" s="1"/>
      <c r="C87" s="1"/>
      <c r="D87" s="1"/>
      <c r="E87" s="1"/>
      <c r="F87" s="1"/>
      <c r="G87" s="1"/>
      <c r="H87" s="1"/>
      <c r="I87" s="1"/>
      <c r="J87" s="1">
        <v>2.79</v>
      </c>
      <c r="K87" s="1"/>
      <c r="L87" s="1"/>
      <c r="M87" s="7"/>
      <c r="N87" s="7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 t="s">
        <v>368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 t="s">
        <v>369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370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371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 t="s">
        <v>372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 t="s">
        <v>369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370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371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 t="s">
        <v>374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</sheetData>
  <mergeCells count="16">
    <mergeCell ref="B13:B17"/>
    <mergeCell ref="C13:C17"/>
    <mergeCell ref="D13:D17"/>
    <mergeCell ref="E13:E17"/>
    <mergeCell ref="F13:F17"/>
    <mergeCell ref="G13:H13"/>
    <mergeCell ref="I13:J13"/>
    <mergeCell ref="G14:G17"/>
    <mergeCell ref="H14:H17"/>
    <mergeCell ref="I14:I17"/>
    <mergeCell ref="J14:J17"/>
    <mergeCell ref="K13:N13"/>
    <mergeCell ref="K14:K17"/>
    <mergeCell ref="L14:L17"/>
    <mergeCell ref="M14:M17"/>
    <mergeCell ref="N14:N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4:R99"/>
  <sheetViews>
    <sheetView workbookViewId="0" topLeftCell="A4">
      <pane xSplit="1" ySplit="15" topLeftCell="B62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C64" sqref="C64"/>
    </sheetView>
  </sheetViews>
  <sheetFormatPr defaultColWidth="9.140625" defaultRowHeight="12.75"/>
  <cols>
    <col min="2" max="2" width="13.140625" style="0" customWidth="1"/>
    <col min="3" max="3" width="34.7109375" style="0" customWidth="1"/>
    <col min="4" max="4" width="17.57421875" style="0" customWidth="1"/>
    <col min="5" max="5" width="13.140625" style="0" hidden="1" customWidth="1"/>
    <col min="6" max="6" width="12.140625" style="0" hidden="1" customWidth="1"/>
    <col min="7" max="7" width="11.421875" style="0" hidden="1" customWidth="1"/>
    <col min="8" max="8" width="13.140625" style="0" hidden="1" customWidth="1"/>
    <col min="9" max="9" width="11.7109375" style="0" hidden="1" customWidth="1"/>
    <col min="10" max="10" width="10.140625" style="0" customWidth="1"/>
    <col min="11" max="11" width="17.57421875" style="0" hidden="1" customWidth="1"/>
    <col min="12" max="12" width="13.421875" style="0" hidden="1" customWidth="1"/>
    <col min="13" max="13" width="10.57421875" style="0" customWidth="1"/>
    <col min="14" max="14" width="10.8515625" style="0" customWidth="1"/>
  </cols>
  <sheetData>
    <row r="4" spans="2:3" ht="12.75">
      <c r="B4" t="s">
        <v>487</v>
      </c>
      <c r="C4" s="5" t="s">
        <v>546</v>
      </c>
    </row>
    <row r="5" spans="2:3" ht="12.75">
      <c r="B5" t="s">
        <v>488</v>
      </c>
      <c r="C5">
        <v>3564.2</v>
      </c>
    </row>
    <row r="6" spans="2:3" ht="12.75">
      <c r="B6" t="s">
        <v>489</v>
      </c>
      <c r="C6">
        <v>4400</v>
      </c>
    </row>
    <row r="7" spans="2:3" ht="12.75">
      <c r="B7" t="s">
        <v>490</v>
      </c>
      <c r="C7" s="5">
        <v>1860</v>
      </c>
    </row>
    <row r="8" spans="2:3" ht="12.75">
      <c r="B8" t="s">
        <v>491</v>
      </c>
      <c r="C8">
        <v>945.2</v>
      </c>
    </row>
    <row r="9" spans="2:3" ht="12.75">
      <c r="B9" t="s">
        <v>493</v>
      </c>
      <c r="C9">
        <v>72</v>
      </c>
    </row>
    <row r="10" spans="2:3" ht="12.75">
      <c r="B10" t="s">
        <v>494</v>
      </c>
      <c r="C10">
        <v>9</v>
      </c>
    </row>
    <row r="11" spans="2:3" ht="12.75">
      <c r="B11" t="s">
        <v>484</v>
      </c>
      <c r="C11">
        <v>1</v>
      </c>
    </row>
    <row r="12" spans="2:3" ht="12.75">
      <c r="B12" t="s">
        <v>547</v>
      </c>
      <c r="C12">
        <v>2</v>
      </c>
    </row>
    <row r="13" spans="2:14" ht="12.75">
      <c r="B13" s="74" t="s">
        <v>40</v>
      </c>
      <c r="C13" s="74" t="s">
        <v>22</v>
      </c>
      <c r="D13" s="74" t="s">
        <v>41</v>
      </c>
      <c r="E13" s="74" t="s">
        <v>42</v>
      </c>
      <c r="F13" s="74" t="s">
        <v>43</v>
      </c>
      <c r="G13" s="74" t="s">
        <v>44</v>
      </c>
      <c r="H13" s="74"/>
      <c r="I13" s="79" t="s">
        <v>123</v>
      </c>
      <c r="J13" s="79"/>
      <c r="K13" s="74" t="s">
        <v>131</v>
      </c>
      <c r="L13" s="74"/>
      <c r="M13" s="74"/>
      <c r="N13" s="74"/>
    </row>
    <row r="14" spans="2:14" ht="12.75">
      <c r="B14" s="74"/>
      <c r="C14" s="74"/>
      <c r="D14" s="74"/>
      <c r="E14" s="74"/>
      <c r="F14" s="74"/>
      <c r="G14" s="74" t="s">
        <v>122</v>
      </c>
      <c r="H14" s="74" t="s">
        <v>45</v>
      </c>
      <c r="I14" s="74" t="s">
        <v>124</v>
      </c>
      <c r="J14" s="74" t="s">
        <v>125</v>
      </c>
      <c r="K14" s="74" t="s">
        <v>132</v>
      </c>
      <c r="L14" s="81" t="s">
        <v>172</v>
      </c>
      <c r="M14" s="81" t="s">
        <v>222</v>
      </c>
      <c r="N14" s="81" t="s">
        <v>305</v>
      </c>
    </row>
    <row r="15" spans="2:14" ht="12.7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81"/>
      <c r="M15" s="81"/>
      <c r="N15" s="81"/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4" t="s">
        <v>46</v>
      </c>
      <c r="D21" s="2"/>
      <c r="E21" s="2">
        <v>141634.46</v>
      </c>
      <c r="F21" s="2"/>
      <c r="G21" s="2">
        <v>98901.86</v>
      </c>
      <c r="H21" s="2">
        <v>42732.6</v>
      </c>
      <c r="I21" s="1"/>
      <c r="J21" s="1"/>
      <c r="K21" s="1"/>
      <c r="L21" s="1"/>
      <c r="M21" s="1"/>
      <c r="N21" s="1"/>
    </row>
    <row r="22" spans="2:14" ht="12.75">
      <c r="B22" s="1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 t="s">
        <v>47</v>
      </c>
      <c r="C23" s="4" t="s">
        <v>23</v>
      </c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</row>
    <row r="24" spans="2:14" ht="25.5">
      <c r="B24" s="1" t="s">
        <v>48</v>
      </c>
      <c r="C24" s="4" t="s">
        <v>24</v>
      </c>
      <c r="D24" s="2"/>
      <c r="E24" s="2">
        <v>17784</v>
      </c>
      <c r="F24" s="2"/>
      <c r="G24" s="2">
        <v>10809.7</v>
      </c>
      <c r="H24" s="2">
        <v>6974.3</v>
      </c>
      <c r="I24" s="1"/>
      <c r="J24" s="1"/>
      <c r="K24" s="1"/>
      <c r="L24" s="1"/>
      <c r="M24" s="1"/>
      <c r="N24" s="1"/>
    </row>
    <row r="25" spans="2:14" ht="25.5">
      <c r="B25" s="1" t="s">
        <v>49</v>
      </c>
      <c r="C25" s="3" t="s">
        <v>25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8" ht="25.5">
      <c r="B26" s="1" t="s">
        <v>50</v>
      </c>
      <c r="C26" s="3" t="s">
        <v>26</v>
      </c>
      <c r="D26" s="1" t="s">
        <v>51</v>
      </c>
      <c r="E26" s="1"/>
      <c r="F26" s="1">
        <v>2343012.48</v>
      </c>
      <c r="G26" s="1">
        <v>1045514.2</v>
      </c>
      <c r="H26" s="1">
        <v>1297498.3</v>
      </c>
      <c r="I26" s="1">
        <f>H26/H24*C8</f>
        <v>175844.9440316591</v>
      </c>
      <c r="J26" s="30">
        <f>I26/C5/12</f>
        <v>4.111370107168956</v>
      </c>
      <c r="K26" s="42">
        <f>J26*C5*3</f>
        <v>43961.23600791478</v>
      </c>
      <c r="L26" s="7">
        <f>J26*C5*6</f>
        <v>87922.47201582955</v>
      </c>
      <c r="M26" s="7">
        <f>J26*C5*9</f>
        <v>131883.70802374434</v>
      </c>
      <c r="N26" s="7">
        <f>J26*C5*12</f>
        <v>175844.9440316591</v>
      </c>
      <c r="R26" t="s">
        <v>143</v>
      </c>
    </row>
    <row r="27" spans="2:14" ht="25.5">
      <c r="B27" s="1" t="s">
        <v>52</v>
      </c>
      <c r="C27" s="3" t="s">
        <v>27</v>
      </c>
      <c r="D27" s="1" t="s">
        <v>53</v>
      </c>
      <c r="E27" s="1"/>
      <c r="F27" s="1">
        <v>796624.2</v>
      </c>
      <c r="G27" s="1">
        <v>355474.8</v>
      </c>
      <c r="H27" s="1">
        <v>441149.4</v>
      </c>
      <c r="I27" s="1">
        <f>H27/H24*C8</f>
        <v>59787.277989188886</v>
      </c>
      <c r="J27" s="30">
        <f>I27/C5/12</f>
        <v>1.3978657667262615</v>
      </c>
      <c r="K27" s="42">
        <f>J27*C5*3</f>
        <v>14946.819497297223</v>
      </c>
      <c r="L27" s="7">
        <f>J27*C5*6</f>
        <v>29893.638994594447</v>
      </c>
      <c r="M27" s="7">
        <f>J27*C5*9</f>
        <v>44840.45849189167</v>
      </c>
      <c r="N27" s="7">
        <f>J27*C5*12</f>
        <v>59787.27798918889</v>
      </c>
    </row>
    <row r="28" spans="2:14" ht="12.75">
      <c r="B28" s="1" t="s">
        <v>54</v>
      </c>
      <c r="C28" s="3" t="s">
        <v>28</v>
      </c>
      <c r="D28" s="1" t="s">
        <v>536</v>
      </c>
      <c r="E28" s="1"/>
      <c r="F28" s="1">
        <v>116909.87</v>
      </c>
      <c r="G28" s="1">
        <v>71061.7</v>
      </c>
      <c r="H28" s="1">
        <v>45848.2</v>
      </c>
      <c r="I28" s="1">
        <f>H28/H24*C8</f>
        <v>6213.629846722968</v>
      </c>
      <c r="J28" s="30">
        <f>I28/C5/12</f>
        <v>0.1452787405944992</v>
      </c>
      <c r="K28" s="42">
        <f>J28*C5*3</f>
        <v>1553.407461680742</v>
      </c>
      <c r="L28" s="7">
        <f>J28*C5*6</f>
        <v>3106.814923361484</v>
      </c>
      <c r="M28" s="7">
        <f>J28*C5*9</f>
        <v>4660.222385042226</v>
      </c>
      <c r="N28" s="7">
        <f>J28*C5*12</f>
        <v>6213.629846722968</v>
      </c>
    </row>
    <row r="29" spans="2:14" ht="12.75">
      <c r="B29" s="1" t="s">
        <v>55</v>
      </c>
      <c r="C29" s="3" t="s">
        <v>29</v>
      </c>
      <c r="D29" s="1"/>
      <c r="E29" s="1">
        <v>15</v>
      </c>
      <c r="F29" s="1"/>
      <c r="G29" s="1"/>
      <c r="H29" s="1"/>
      <c r="I29" s="1"/>
      <c r="J29" s="1"/>
      <c r="K29" s="42"/>
      <c r="L29" s="7"/>
      <c r="M29" s="7"/>
      <c r="N29" s="7"/>
    </row>
    <row r="30" spans="2:14" ht="25.5">
      <c r="B30" s="1" t="s">
        <v>56</v>
      </c>
      <c r="C30" s="3" t="s">
        <v>57</v>
      </c>
      <c r="D30" s="3" t="s">
        <v>58</v>
      </c>
      <c r="E30" s="1"/>
      <c r="F30" s="1">
        <v>674</v>
      </c>
      <c r="G30" s="1"/>
      <c r="H30" s="1">
        <v>674</v>
      </c>
      <c r="I30" s="1">
        <f>H30/H24*C8</f>
        <v>91.34462239938058</v>
      </c>
      <c r="J30" s="30">
        <f>I30/C5/12</f>
        <v>0.002135697173731847</v>
      </c>
      <c r="K30" s="42">
        <f>J30*C5*3</f>
        <v>22.836155599845146</v>
      </c>
      <c r="L30" s="7">
        <f>J30*C5*6</f>
        <v>45.67231119969029</v>
      </c>
      <c r="M30" s="7">
        <f>J30*C5*9</f>
        <v>68.50846679953544</v>
      </c>
      <c r="N30" s="7">
        <f>J30*C5*12</f>
        <v>91.34462239938058</v>
      </c>
    </row>
    <row r="31" spans="2:14" ht="38.25">
      <c r="B31" s="1" t="s">
        <v>59</v>
      </c>
      <c r="C31" s="3" t="s">
        <v>30</v>
      </c>
      <c r="D31" s="1"/>
      <c r="E31" s="1"/>
      <c r="F31" s="1"/>
      <c r="G31" s="1"/>
      <c r="H31" s="1"/>
      <c r="I31" s="1"/>
      <c r="J31" s="1"/>
      <c r="K31" s="42"/>
      <c r="L31" s="7"/>
      <c r="M31" s="7"/>
      <c r="N31" s="7"/>
    </row>
    <row r="32" spans="2:14" ht="12.75">
      <c r="B32" s="1"/>
      <c r="C32" s="4" t="s">
        <v>60</v>
      </c>
      <c r="D32" s="2"/>
      <c r="E32" s="2"/>
      <c r="F32" s="2">
        <v>3257220.6</v>
      </c>
      <c r="G32" s="2">
        <v>1472050.7</v>
      </c>
      <c r="H32" s="2">
        <v>1785169.9</v>
      </c>
      <c r="I32" s="2">
        <f aca="true" t="shared" si="0" ref="I32:N32">SUM(I26:I31)</f>
        <v>241937.19648997032</v>
      </c>
      <c r="J32" s="31">
        <f t="shared" si="0"/>
        <v>5.656650311663449</v>
      </c>
      <c r="K32" s="43">
        <f t="shared" si="0"/>
        <v>60484.299122492586</v>
      </c>
      <c r="L32" s="6">
        <f t="shared" si="0"/>
        <v>120968.59824498517</v>
      </c>
      <c r="M32" s="6">
        <f t="shared" si="0"/>
        <v>181452.8973674778</v>
      </c>
      <c r="N32" s="6">
        <f t="shared" si="0"/>
        <v>241937.19648997035</v>
      </c>
    </row>
    <row r="33" spans="2:14" ht="51">
      <c r="B33" s="1" t="s">
        <v>61</v>
      </c>
      <c r="C33" s="4" t="s">
        <v>31</v>
      </c>
      <c r="D33" s="2"/>
      <c r="E33" s="2">
        <v>111234.9</v>
      </c>
      <c r="F33" s="2"/>
      <c r="G33" s="2">
        <v>78376.2</v>
      </c>
      <c r="H33" s="2">
        <v>32858.7</v>
      </c>
      <c r="I33" s="1"/>
      <c r="J33" s="1"/>
      <c r="K33" s="1"/>
      <c r="L33" s="7"/>
      <c r="M33" s="7"/>
      <c r="N33" s="7"/>
    </row>
    <row r="34" spans="2:14" ht="25.5">
      <c r="B34" s="1" t="s">
        <v>62</v>
      </c>
      <c r="C34" s="3" t="s">
        <v>32</v>
      </c>
      <c r="D34" s="1" t="s">
        <v>51</v>
      </c>
      <c r="E34" s="1"/>
      <c r="F34" s="1">
        <v>815719.552</v>
      </c>
      <c r="G34" s="1">
        <v>574756.7</v>
      </c>
      <c r="H34" s="1">
        <v>240962.9</v>
      </c>
      <c r="I34" s="1">
        <f>H34/H33*(C7+C6)</f>
        <v>45906.495205227235</v>
      </c>
      <c r="J34" s="30">
        <f>I34/C5/12</f>
        <v>1.0733239624887128</v>
      </c>
      <c r="K34" s="42">
        <f>J34*C5*3</f>
        <v>11476.62380130681</v>
      </c>
      <c r="L34" s="7">
        <f>J34*C5*6</f>
        <v>22953.24760261362</v>
      </c>
      <c r="M34" s="7">
        <f>J34*C5*9</f>
        <v>34429.87140392043</v>
      </c>
      <c r="N34" s="7">
        <f>J34*C5*12</f>
        <v>45906.49520522724</v>
      </c>
    </row>
    <row r="35" spans="2:14" ht="12.75">
      <c r="B35" s="1" t="s">
        <v>63</v>
      </c>
      <c r="C35" s="3" t="s">
        <v>311</v>
      </c>
      <c r="D35" s="1" t="s">
        <v>53</v>
      </c>
      <c r="E35" s="1"/>
      <c r="F35" s="1">
        <v>277344.6</v>
      </c>
      <c r="G35" s="1">
        <v>195417.3</v>
      </c>
      <c r="H35" s="1">
        <v>81927.4</v>
      </c>
      <c r="I35" s="1">
        <f>H35/H33*(C7+C6)</f>
        <v>15608.211036955207</v>
      </c>
      <c r="J35" s="30">
        <f>I35/C5/12</f>
        <v>0.36493020960653183</v>
      </c>
      <c r="K35" s="42">
        <f>J35*C5*3</f>
        <v>3902.052759238802</v>
      </c>
      <c r="L35" s="7">
        <f>J35*C5*6</f>
        <v>7804.105518477604</v>
      </c>
      <c r="M35" s="7">
        <f>J35*C5*9</f>
        <v>11706.158277716406</v>
      </c>
      <c r="N35" s="7">
        <f>J35*C5*12</f>
        <v>15608.211036955208</v>
      </c>
    </row>
    <row r="36" spans="2:14" ht="12.75">
      <c r="B36" s="1" t="s">
        <v>65</v>
      </c>
      <c r="C36" s="3" t="s">
        <v>66</v>
      </c>
      <c r="D36" s="1" t="s">
        <v>536</v>
      </c>
      <c r="E36" s="1"/>
      <c r="F36" s="1">
        <v>115582.34</v>
      </c>
      <c r="G36" s="1">
        <v>81439.4</v>
      </c>
      <c r="H36" s="1">
        <v>34142.9</v>
      </c>
      <c r="I36" s="1">
        <f>H36/H33*(C6+C7)</f>
        <v>6504.656422804312</v>
      </c>
      <c r="J36" s="30">
        <f>I36/C5/12</f>
        <v>0.1520831327928734</v>
      </c>
      <c r="K36" s="42">
        <f>J36*C5*3</f>
        <v>1626.164105701078</v>
      </c>
      <c r="L36" s="7">
        <f>J36*C5*6</f>
        <v>3252.328211402156</v>
      </c>
      <c r="M36" s="7">
        <f>J36*C5*9</f>
        <v>4878.492317103233</v>
      </c>
      <c r="N36" s="7">
        <f>J36*C5*12</f>
        <v>6504.656422804312</v>
      </c>
    </row>
    <row r="37" spans="2:14" ht="25.5">
      <c r="B37" s="1" t="s">
        <v>67</v>
      </c>
      <c r="C37" s="3" t="s">
        <v>34</v>
      </c>
      <c r="D37" s="1" t="s">
        <v>68</v>
      </c>
      <c r="E37" s="1"/>
      <c r="F37" s="1">
        <v>55220.9</v>
      </c>
      <c r="G37" s="1">
        <v>38908.7</v>
      </c>
      <c r="H37" s="1">
        <v>16312.2</v>
      </c>
      <c r="I37" s="1">
        <f>H37/H33*(C7+C6)</f>
        <v>3107.6814359667305</v>
      </c>
      <c r="J37" s="30">
        <f>I37/C5/12</f>
        <v>0.07265962993020245</v>
      </c>
      <c r="K37" s="42">
        <f>J37*C5*3</f>
        <v>776.9203589916826</v>
      </c>
      <c r="L37" s="7">
        <f>J37*C5*6</f>
        <v>1553.8407179833653</v>
      </c>
      <c r="M37" s="7">
        <f>J37*C5*9</f>
        <v>2330.7610769750477</v>
      </c>
      <c r="N37" s="7">
        <f>J37*C5*12</f>
        <v>3107.6814359667305</v>
      </c>
    </row>
    <row r="38" spans="2:14" ht="25.5">
      <c r="B38" s="1" t="s">
        <v>69</v>
      </c>
      <c r="C38" s="3" t="s">
        <v>35</v>
      </c>
      <c r="D38" s="1"/>
      <c r="E38" s="1"/>
      <c r="F38" s="1"/>
      <c r="G38" s="1"/>
      <c r="H38" s="1"/>
      <c r="I38" s="1"/>
      <c r="J38" s="30"/>
      <c r="K38" s="42"/>
      <c r="L38" s="7"/>
      <c r="M38" s="7"/>
      <c r="N38" s="7"/>
    </row>
    <row r="39" spans="2:14" ht="12.75">
      <c r="B39" s="1" t="s">
        <v>70</v>
      </c>
      <c r="C39" s="3" t="s">
        <v>36</v>
      </c>
      <c r="D39" s="1" t="s">
        <v>71</v>
      </c>
      <c r="E39" s="1"/>
      <c r="F39" s="1"/>
      <c r="G39" s="1"/>
      <c r="H39" s="1"/>
      <c r="I39" s="1"/>
      <c r="J39" s="30"/>
      <c r="K39" s="42"/>
      <c r="L39" s="7"/>
      <c r="M39" s="7"/>
      <c r="N39" s="7"/>
    </row>
    <row r="40" spans="2:14" ht="12.75">
      <c r="B40" s="1" t="s">
        <v>72</v>
      </c>
      <c r="C40" s="3" t="s">
        <v>73</v>
      </c>
      <c r="D40" s="1"/>
      <c r="E40" s="1"/>
      <c r="F40" s="1">
        <v>30500</v>
      </c>
      <c r="G40" s="1">
        <v>21297.8</v>
      </c>
      <c r="H40" s="1">
        <v>9202.2</v>
      </c>
      <c r="I40" s="1">
        <f>H40/H21*C5</f>
        <v>767.5283329355107</v>
      </c>
      <c r="J40" s="30">
        <f>I40/C5/12</f>
        <v>0.017945315754248514</v>
      </c>
      <c r="K40" s="42">
        <f>J40*C5*3</f>
        <v>191.88208323387767</v>
      </c>
      <c r="L40" s="7">
        <f>J40*C5*6</f>
        <v>383.76416646775533</v>
      </c>
      <c r="M40" s="7">
        <f>J40*C5*9</f>
        <v>575.646249701633</v>
      </c>
      <c r="N40" s="7">
        <f>J40*C5*12</f>
        <v>767.5283329355107</v>
      </c>
    </row>
    <row r="41" spans="2:14" ht="12.75">
      <c r="B41" s="1"/>
      <c r="C41" s="4" t="s">
        <v>60</v>
      </c>
      <c r="D41" s="2"/>
      <c r="E41" s="2"/>
      <c r="F41" s="2">
        <v>1294367.4</v>
      </c>
      <c r="G41" s="2">
        <v>911819.85</v>
      </c>
      <c r="H41" s="2">
        <v>382547.6</v>
      </c>
      <c r="I41" s="2">
        <f aca="true" t="shared" si="1" ref="I41:N41">SUM(I34:I40)</f>
        <v>71894.572433889</v>
      </c>
      <c r="J41" s="31">
        <f t="shared" si="1"/>
        <v>1.6809422505725689</v>
      </c>
      <c r="K41" s="43">
        <f t="shared" si="1"/>
        <v>17973.643108472254</v>
      </c>
      <c r="L41" s="6">
        <f t="shared" si="1"/>
        <v>35947.28621694451</v>
      </c>
      <c r="M41" s="6">
        <f t="shared" si="1"/>
        <v>53920.92932541675</v>
      </c>
      <c r="N41" s="6">
        <f t="shared" si="1"/>
        <v>71894.57243388901</v>
      </c>
    </row>
    <row r="42" spans="2:14" ht="12.75">
      <c r="B42" s="1" t="s">
        <v>74</v>
      </c>
      <c r="C42" s="4" t="s">
        <v>37</v>
      </c>
      <c r="D42" s="2"/>
      <c r="E42" s="2"/>
      <c r="F42" s="2">
        <v>5004925.7</v>
      </c>
      <c r="G42" s="2">
        <v>3548598.7</v>
      </c>
      <c r="H42" s="2">
        <v>1456327</v>
      </c>
      <c r="I42" s="2">
        <f>H42/H21*C5</f>
        <v>121467.93533274363</v>
      </c>
      <c r="J42" s="31">
        <f>I42/C5/12</f>
        <v>2.8399999843991086</v>
      </c>
      <c r="K42" s="43">
        <f>J42*C5*3</f>
        <v>30366.983833185906</v>
      </c>
      <c r="L42" s="6">
        <f>J42*C5*6</f>
        <v>60733.96766637181</v>
      </c>
      <c r="M42" s="6">
        <f>J42*C5*9</f>
        <v>91100.95149955772</v>
      </c>
      <c r="N42" s="6">
        <f>J42*C5*12</f>
        <v>121467.93533274363</v>
      </c>
    </row>
    <row r="43" spans="2:14" ht="38.25">
      <c r="B43" s="1" t="s">
        <v>75</v>
      </c>
      <c r="C43" s="4" t="s">
        <v>38</v>
      </c>
      <c r="D43" s="2"/>
      <c r="E43" s="2">
        <v>141634.46</v>
      </c>
      <c r="F43" s="2"/>
      <c r="G43" s="2">
        <v>98901.86</v>
      </c>
      <c r="H43" s="2">
        <v>42732.6</v>
      </c>
      <c r="I43" s="1"/>
      <c r="J43" s="1"/>
      <c r="K43" s="1"/>
      <c r="L43" s="7"/>
      <c r="M43" s="7"/>
      <c r="N43" s="7"/>
    </row>
    <row r="44" spans="2:14" ht="76.5">
      <c r="B44" s="1" t="s">
        <v>76</v>
      </c>
      <c r="C44" s="3" t="s">
        <v>199</v>
      </c>
      <c r="D44" s="1" t="s">
        <v>51</v>
      </c>
      <c r="E44" s="1"/>
      <c r="F44" s="1">
        <v>558138</v>
      </c>
      <c r="G44" s="1">
        <v>389741.9</v>
      </c>
      <c r="H44" s="1">
        <v>168396.1</v>
      </c>
      <c r="I44" s="1">
        <f>H44/H43*C5</f>
        <v>14045.421519402049</v>
      </c>
      <c r="J44" s="30">
        <f>I44/C5/12</f>
        <v>0.3283911658390394</v>
      </c>
      <c r="K44" s="42">
        <f>J44*C5*3</f>
        <v>3511.355379850512</v>
      </c>
      <c r="L44" s="7">
        <f>J44*C5*6</f>
        <v>7022.710759701024</v>
      </c>
      <c r="M44" s="7">
        <f>J44*C5*9</f>
        <v>10534.066139551536</v>
      </c>
      <c r="N44" s="7">
        <f>J44*C5*12</f>
        <v>14045.421519402047</v>
      </c>
    </row>
    <row r="45" spans="2:14" ht="89.25">
      <c r="B45" s="1" t="s">
        <v>78</v>
      </c>
      <c r="C45" s="3" t="s">
        <v>424</v>
      </c>
      <c r="D45" s="1" t="s">
        <v>53</v>
      </c>
      <c r="E45" s="1"/>
      <c r="F45" s="1">
        <v>189767</v>
      </c>
      <c r="G45" s="1">
        <v>132512</v>
      </c>
      <c r="H45" s="1">
        <v>57255</v>
      </c>
      <c r="I45" s="1">
        <f>H45/H43*C5</f>
        <v>4775.470507294197</v>
      </c>
      <c r="J45" s="30">
        <f>I45/C5/12</f>
        <v>0.11165363212161207</v>
      </c>
      <c r="K45" s="42">
        <f>J45*C5*3</f>
        <v>1193.8676268235492</v>
      </c>
      <c r="L45" s="7">
        <f>J45*C5*6</f>
        <v>2387.7352536470985</v>
      </c>
      <c r="M45" s="7">
        <f>J45*C5*9</f>
        <v>3581.6028804706475</v>
      </c>
      <c r="N45" s="7">
        <f>J45*C5*12</f>
        <v>4775.470507294197</v>
      </c>
    </row>
    <row r="46" spans="2:14" ht="89.25">
      <c r="B46" s="1" t="s">
        <v>80</v>
      </c>
      <c r="C46" s="29" t="s">
        <v>129</v>
      </c>
      <c r="D46" s="1" t="s">
        <v>536</v>
      </c>
      <c r="E46" s="1"/>
      <c r="F46" s="1">
        <v>111512.16</v>
      </c>
      <c r="G46" s="1">
        <v>77867.8</v>
      </c>
      <c r="H46" s="1">
        <v>33644.4</v>
      </c>
      <c r="I46" s="1">
        <f>H46/H43*C5</f>
        <v>2806.180070484829</v>
      </c>
      <c r="J46" s="30">
        <f>I46/C5/12</f>
        <v>0.06561033028647918</v>
      </c>
      <c r="K46" s="42">
        <f>J46*C5*3</f>
        <v>701.5450176212073</v>
      </c>
      <c r="L46" s="7">
        <f>J46*C5*6</f>
        <v>1403.0900352424146</v>
      </c>
      <c r="M46" s="7">
        <f>J46*C5*9</f>
        <v>2104.635052863622</v>
      </c>
      <c r="N46" s="7">
        <f>J46*C5*12</f>
        <v>2806.1800704848292</v>
      </c>
    </row>
    <row r="47" spans="2:14" ht="12.75">
      <c r="B47" s="1"/>
      <c r="C47" s="3"/>
      <c r="D47" s="1"/>
      <c r="E47" s="1"/>
      <c r="F47" s="1"/>
      <c r="G47" s="1"/>
      <c r="H47" s="1"/>
      <c r="I47" s="1"/>
      <c r="J47" s="30"/>
      <c r="K47" s="42"/>
      <c r="L47" s="7"/>
      <c r="M47" s="7"/>
      <c r="N47" s="7"/>
    </row>
    <row r="48" spans="2:14" ht="25.5">
      <c r="B48" s="1"/>
      <c r="C48" s="4" t="s">
        <v>243</v>
      </c>
      <c r="D48" s="1" t="s">
        <v>71</v>
      </c>
      <c r="E48" s="1"/>
      <c r="F48" s="1"/>
      <c r="G48" s="1"/>
      <c r="H48" s="1"/>
      <c r="I48" s="1"/>
      <c r="J48" s="30"/>
      <c r="K48" s="42"/>
      <c r="L48" s="7"/>
      <c r="M48" s="7"/>
      <c r="N48" s="7"/>
    </row>
    <row r="49" spans="2:14" ht="12.75">
      <c r="B49" s="1"/>
      <c r="C49" s="4" t="s">
        <v>60</v>
      </c>
      <c r="D49" s="2"/>
      <c r="E49" s="2"/>
      <c r="F49" s="2">
        <v>859417.1</v>
      </c>
      <c r="G49" s="2">
        <v>600121.9</v>
      </c>
      <c r="H49" s="2">
        <v>259295.1</v>
      </c>
      <c r="I49" s="2">
        <f aca="true" t="shared" si="2" ref="I49:N49">SUM(I44:I48)</f>
        <v>21627.072097181073</v>
      </c>
      <c r="J49" s="31">
        <f t="shared" si="2"/>
        <v>0.5056551282471307</v>
      </c>
      <c r="K49" s="43">
        <f t="shared" si="2"/>
        <v>5406.768024295268</v>
      </c>
      <c r="L49" s="6">
        <f t="shared" si="2"/>
        <v>10813.536048590537</v>
      </c>
      <c r="M49" s="6">
        <f t="shared" si="2"/>
        <v>16220.304072885807</v>
      </c>
      <c r="N49" s="6">
        <f t="shared" si="2"/>
        <v>21627.072097181073</v>
      </c>
    </row>
    <row r="50" spans="2:14" ht="38.25">
      <c r="B50" s="1" t="s">
        <v>81</v>
      </c>
      <c r="C50" s="4" t="s">
        <v>39</v>
      </c>
      <c r="D50" s="2"/>
      <c r="E50" s="2">
        <v>141634.46</v>
      </c>
      <c r="F50" s="2"/>
      <c r="G50" s="2">
        <v>98901.86</v>
      </c>
      <c r="H50" s="2">
        <v>42732.6</v>
      </c>
      <c r="I50" s="1"/>
      <c r="J50" s="1"/>
      <c r="K50" s="1"/>
      <c r="L50" s="7"/>
      <c r="M50" s="7"/>
      <c r="N50" s="7"/>
    </row>
    <row r="51" spans="2:14" ht="25.5">
      <c r="B51" s="1" t="s">
        <v>82</v>
      </c>
      <c r="C51" s="3" t="s">
        <v>83</v>
      </c>
      <c r="D51" s="1" t="s">
        <v>51</v>
      </c>
      <c r="E51" s="1"/>
      <c r="F51" s="1">
        <v>667518.8</v>
      </c>
      <c r="G51" s="1">
        <v>466121.4</v>
      </c>
      <c r="H51" s="1">
        <v>201397.4</v>
      </c>
      <c r="I51" s="1">
        <f>H51/H50*C5</f>
        <v>16797.962517609507</v>
      </c>
      <c r="J51" s="30">
        <f>I51/C5/12</f>
        <v>0.3927473794402088</v>
      </c>
      <c r="K51" s="42">
        <f>J51*C5*3</f>
        <v>4199.490629402377</v>
      </c>
      <c r="L51" s="7">
        <f>J51*C5*6</f>
        <v>8398.981258804753</v>
      </c>
      <c r="M51" s="7">
        <f>J51*C5*9</f>
        <v>12598.47188820713</v>
      </c>
      <c r="N51" s="44">
        <f>J51*C5*12</f>
        <v>16797.962517609507</v>
      </c>
    </row>
    <row r="52" spans="2:14" ht="12.75">
      <c r="B52" s="1" t="s">
        <v>84</v>
      </c>
      <c r="C52" s="3" t="s">
        <v>183</v>
      </c>
      <c r="D52" s="1" t="s">
        <v>53</v>
      </c>
      <c r="E52" s="1"/>
      <c r="F52" s="1">
        <v>226956</v>
      </c>
      <c r="G52" s="1">
        <v>158481.3</v>
      </c>
      <c r="H52" s="1">
        <v>68475.1</v>
      </c>
      <c r="I52" s="1">
        <f>H52/H50*C5</f>
        <v>5711.305921474472</v>
      </c>
      <c r="J52" s="30">
        <f>I52/C5/12</f>
        <v>0.1335340778078875</v>
      </c>
      <c r="K52" s="42">
        <f>J52*C5*3</f>
        <v>1427.826480368618</v>
      </c>
      <c r="L52" s="7">
        <f>J52*C5*6</f>
        <v>2855.652960737236</v>
      </c>
      <c r="M52" s="7">
        <f>J52*C5*9</f>
        <v>4283.479441105854</v>
      </c>
      <c r="N52" s="44">
        <f>J52*C5*12</f>
        <v>5711.305921474472</v>
      </c>
    </row>
    <row r="53" spans="2:14" ht="63.75">
      <c r="B53" s="1" t="s">
        <v>86</v>
      </c>
      <c r="C53" s="4" t="s">
        <v>200</v>
      </c>
      <c r="D53" s="1" t="s">
        <v>536</v>
      </c>
      <c r="E53" s="1"/>
      <c r="F53" s="1">
        <v>446048.65</v>
      </c>
      <c r="G53" s="1">
        <v>311471.1</v>
      </c>
      <c r="H53" s="1">
        <v>134577.5</v>
      </c>
      <c r="I53" s="1">
        <f>H53/H50*C5</f>
        <v>11224.711941234562</v>
      </c>
      <c r="J53" s="30">
        <f>I53/C5/12</f>
        <v>0.2624411261347699</v>
      </c>
      <c r="K53" s="42">
        <f>J53*C5*3</f>
        <v>2806.17798530864</v>
      </c>
      <c r="L53" s="7">
        <f>J53*C5*6</f>
        <v>5612.35597061728</v>
      </c>
      <c r="M53" s="7">
        <f>J53*C5*9</f>
        <v>8418.533955925921</v>
      </c>
      <c r="N53" s="44">
        <f>J53*C5*12</f>
        <v>11224.71194123456</v>
      </c>
    </row>
    <row r="54" spans="2:14" ht="38.25">
      <c r="B54" s="1" t="s">
        <v>88</v>
      </c>
      <c r="C54" s="3" t="s">
        <v>130</v>
      </c>
      <c r="D54" s="1"/>
      <c r="E54" s="1"/>
      <c r="F54" s="1"/>
      <c r="G54" s="1"/>
      <c r="H54" s="1"/>
      <c r="I54" s="1"/>
      <c r="J54" s="30"/>
      <c r="K54" s="42"/>
      <c r="L54" s="7"/>
      <c r="M54" s="7"/>
      <c r="N54" s="44"/>
    </row>
    <row r="55" spans="2:14" ht="38.25">
      <c r="B55" s="1" t="s">
        <v>89</v>
      </c>
      <c r="C55" s="3" t="s">
        <v>90</v>
      </c>
      <c r="D55" s="1" t="s">
        <v>71</v>
      </c>
      <c r="E55" s="1"/>
      <c r="F55" s="1"/>
      <c r="G55" s="1"/>
      <c r="H55" s="1"/>
      <c r="I55" s="1"/>
      <c r="J55" s="30"/>
      <c r="K55" s="42"/>
      <c r="L55" s="7"/>
      <c r="M55" s="7"/>
      <c r="N55" s="6"/>
    </row>
    <row r="56" spans="2:14" ht="63.75">
      <c r="B56" s="1" t="s">
        <v>91</v>
      </c>
      <c r="C56" s="3" t="s">
        <v>92</v>
      </c>
      <c r="D56" s="1"/>
      <c r="E56" s="1"/>
      <c r="F56" s="1"/>
      <c r="G56" s="1"/>
      <c r="H56" s="1"/>
      <c r="I56" s="1"/>
      <c r="J56" s="30"/>
      <c r="K56" s="42"/>
      <c r="L56" s="7"/>
      <c r="M56" s="7"/>
      <c r="N56" s="6"/>
    </row>
    <row r="57" spans="2:14" ht="25.5">
      <c r="B57" s="1" t="s">
        <v>93</v>
      </c>
      <c r="C57" s="3" t="s">
        <v>94</v>
      </c>
      <c r="D57" s="1"/>
      <c r="E57" s="1"/>
      <c r="F57" s="1"/>
      <c r="G57" s="1"/>
      <c r="H57" s="1"/>
      <c r="I57" s="1"/>
      <c r="J57" s="30"/>
      <c r="K57" s="42"/>
      <c r="L57" s="7"/>
      <c r="M57" s="7"/>
      <c r="N57" s="6"/>
    </row>
    <row r="58" spans="2:14" ht="12.75">
      <c r="B58" s="1"/>
      <c r="C58" s="4" t="s">
        <v>60</v>
      </c>
      <c r="D58" s="2"/>
      <c r="E58" s="2"/>
      <c r="F58" s="2">
        <v>1340523.8</v>
      </c>
      <c r="G58" s="2">
        <v>936073.8</v>
      </c>
      <c r="H58" s="2">
        <v>404450.1</v>
      </c>
      <c r="I58" s="2">
        <f aca="true" t="shared" si="3" ref="I58:N58">SUM(I51:I57)</f>
        <v>33733.98038031854</v>
      </c>
      <c r="J58" s="31">
        <f t="shared" si="3"/>
        <v>0.7887225833828662</v>
      </c>
      <c r="K58" s="43">
        <f t="shared" si="3"/>
        <v>8433.495095079634</v>
      </c>
      <c r="L58" s="6">
        <f t="shared" si="3"/>
        <v>16866.990190159268</v>
      </c>
      <c r="M58" s="6">
        <f t="shared" si="3"/>
        <v>25300.48528523891</v>
      </c>
      <c r="N58" s="6">
        <f t="shared" si="3"/>
        <v>33733.980380318535</v>
      </c>
    </row>
    <row r="59" spans="2:14" ht="38.25">
      <c r="B59" s="1" t="s">
        <v>95</v>
      </c>
      <c r="C59" s="4" t="s">
        <v>481</v>
      </c>
      <c r="D59" s="2"/>
      <c r="E59" s="2">
        <v>141634.46</v>
      </c>
      <c r="F59" s="2"/>
      <c r="G59" s="2">
        <v>98901.86</v>
      </c>
      <c r="H59" s="2">
        <v>42732.6</v>
      </c>
      <c r="I59" s="1"/>
      <c r="J59" s="1"/>
      <c r="K59" s="1"/>
      <c r="L59" s="7"/>
      <c r="M59" s="7"/>
      <c r="N59" s="7"/>
    </row>
    <row r="60" spans="2:14" ht="25.5">
      <c r="B60" s="1" t="s">
        <v>96</v>
      </c>
      <c r="C60" s="3" t="s">
        <v>97</v>
      </c>
      <c r="D60" s="1" t="s">
        <v>51</v>
      </c>
      <c r="E60" s="1"/>
      <c r="F60" s="1">
        <v>3033160.58</v>
      </c>
      <c r="G60" s="1">
        <v>2118024.3</v>
      </c>
      <c r="H60" s="1">
        <v>915136.3</v>
      </c>
      <c r="I60" s="1">
        <f>H60/H59*C5</f>
        <v>76328.8168859372</v>
      </c>
      <c r="J60" s="30">
        <f>I60/C5/12</f>
        <v>1.784617793753091</v>
      </c>
      <c r="K60" s="42">
        <f>J60*C5*3</f>
        <v>19082.204221484302</v>
      </c>
      <c r="L60" s="44">
        <f>J60*C5*6</f>
        <v>38164.408442968605</v>
      </c>
      <c r="M60" s="7">
        <f>J60*C5*9</f>
        <v>57246.6126644529</v>
      </c>
      <c r="N60" s="7">
        <f>J60*C5*12</f>
        <v>76328.81688593721</v>
      </c>
    </row>
    <row r="61" spans="2:14" ht="12.75">
      <c r="B61" s="1" t="s">
        <v>98</v>
      </c>
      <c r="C61" s="3" t="s">
        <v>99</v>
      </c>
      <c r="D61" s="1" t="s">
        <v>53</v>
      </c>
      <c r="E61" s="1"/>
      <c r="F61" s="1">
        <v>1031274.6</v>
      </c>
      <c r="G61" s="1">
        <v>720128.3</v>
      </c>
      <c r="H61" s="1">
        <v>311146.3</v>
      </c>
      <c r="I61" s="1">
        <f>H61/H59*C5</f>
        <v>25951.79423812265</v>
      </c>
      <c r="J61" s="30">
        <f>I61/C5/12</f>
        <v>0.6067699679713693</v>
      </c>
      <c r="K61" s="42">
        <f>J61*C5*3</f>
        <v>6487.948559530662</v>
      </c>
      <c r="L61" s="44">
        <f>J61*C5*6</f>
        <v>12975.897119061325</v>
      </c>
      <c r="M61" s="7">
        <f>J61*C5*9</f>
        <v>19463.845678591988</v>
      </c>
      <c r="N61" s="7">
        <f>J61*C5*12</f>
        <v>25951.79423812265</v>
      </c>
    </row>
    <row r="62" spans="2:14" ht="25.5">
      <c r="B62" s="1" t="s">
        <v>100</v>
      </c>
      <c r="C62" s="3" t="s">
        <v>450</v>
      </c>
      <c r="D62" s="1" t="s">
        <v>536</v>
      </c>
      <c r="E62" s="1"/>
      <c r="F62" s="1">
        <v>719534.71</v>
      </c>
      <c r="G62" s="1">
        <v>502443.6</v>
      </c>
      <c r="H62" s="1">
        <v>217091.2</v>
      </c>
      <c r="I62" s="1">
        <f>H62/H59*C5</f>
        <v>18106.936040400073</v>
      </c>
      <c r="J62" s="30">
        <f>I62/C5/12</f>
        <v>0.423352038802538</v>
      </c>
      <c r="K62" s="42">
        <f>J62*C5*3</f>
        <v>4526.734010100017</v>
      </c>
      <c r="L62" s="44">
        <f>J62*C5*6</f>
        <v>9053.468020200035</v>
      </c>
      <c r="M62" s="7">
        <f>J62*C5*9</f>
        <v>13580.202030300054</v>
      </c>
      <c r="N62" s="7">
        <f>J62*C5*12</f>
        <v>18106.93604040007</v>
      </c>
    </row>
    <row r="63" spans="2:14" ht="25.5">
      <c r="B63" s="1" t="s">
        <v>102</v>
      </c>
      <c r="C63" s="3" t="s">
        <v>103</v>
      </c>
      <c r="D63" s="1"/>
      <c r="E63" s="1"/>
      <c r="F63" s="1"/>
      <c r="G63" s="1"/>
      <c r="H63" s="1"/>
      <c r="I63" s="1"/>
      <c r="J63" s="30"/>
      <c r="K63" s="42"/>
      <c r="L63" s="44"/>
      <c r="M63" s="7"/>
      <c r="N63" s="7"/>
    </row>
    <row r="64" spans="2:14" ht="51">
      <c r="B64" s="1" t="s">
        <v>104</v>
      </c>
      <c r="C64" s="4" t="s">
        <v>414</v>
      </c>
      <c r="D64" s="1" t="s">
        <v>71</v>
      </c>
      <c r="E64" s="1"/>
      <c r="F64" s="1"/>
      <c r="G64" s="1"/>
      <c r="H64" s="1"/>
      <c r="I64" s="1"/>
      <c r="J64" s="30"/>
      <c r="K64" s="42"/>
      <c r="L64" s="44"/>
      <c r="M64" s="7"/>
      <c r="N64" s="7"/>
    </row>
    <row r="65" spans="2:14" ht="51">
      <c r="B65" s="1" t="s">
        <v>105</v>
      </c>
      <c r="C65" s="3" t="s">
        <v>106</v>
      </c>
      <c r="D65" s="3" t="s">
        <v>107</v>
      </c>
      <c r="E65" s="3" t="s">
        <v>108</v>
      </c>
      <c r="F65" s="1">
        <v>71968.71</v>
      </c>
      <c r="G65" s="1">
        <v>32713.05</v>
      </c>
      <c r="H65" s="1">
        <v>39255.66</v>
      </c>
      <c r="I65" s="1">
        <f>H65/6*C12</f>
        <v>13085.220000000001</v>
      </c>
      <c r="J65" s="30">
        <f>I65/C5/12</f>
        <v>0.30594102463385897</v>
      </c>
      <c r="K65" s="42">
        <f>J65*C5*3</f>
        <v>3271.3050000000003</v>
      </c>
      <c r="L65" s="44">
        <f>J65*C5*6</f>
        <v>6542.610000000001</v>
      </c>
      <c r="M65" s="7">
        <f>J65*C5*9</f>
        <v>9813.915</v>
      </c>
      <c r="N65" s="7">
        <f>J65*C5*12</f>
        <v>13085.220000000001</v>
      </c>
    </row>
    <row r="66" spans="2:14" ht="12.75">
      <c r="B66" s="1"/>
      <c r="C66" s="4" t="s">
        <v>60</v>
      </c>
      <c r="D66" s="2"/>
      <c r="E66" s="2"/>
      <c r="F66" s="2">
        <v>4855938.6</v>
      </c>
      <c r="G66" s="2">
        <v>3373309.1</v>
      </c>
      <c r="H66" s="2">
        <v>1482629.5</v>
      </c>
      <c r="I66" s="2">
        <f aca="true" t="shared" si="4" ref="I66:N66">SUM(I60:I65)</f>
        <v>133472.76716445992</v>
      </c>
      <c r="J66" s="31">
        <f t="shared" si="4"/>
        <v>3.120680825160857</v>
      </c>
      <c r="K66" s="43">
        <f t="shared" si="4"/>
        <v>33368.19179111498</v>
      </c>
      <c r="L66" s="6">
        <f t="shared" si="4"/>
        <v>66736.38358222996</v>
      </c>
      <c r="M66" s="6">
        <f t="shared" si="4"/>
        <v>100104.57537334494</v>
      </c>
      <c r="N66" s="6">
        <f t="shared" si="4"/>
        <v>133472.76716445992</v>
      </c>
    </row>
    <row r="67" spans="2:14" ht="12.75">
      <c r="B67" s="1" t="s">
        <v>109</v>
      </c>
      <c r="C67" s="4" t="s">
        <v>482</v>
      </c>
      <c r="D67" s="2"/>
      <c r="E67" s="2">
        <v>141634.46</v>
      </c>
      <c r="F67" s="2"/>
      <c r="G67" s="2">
        <v>98901.86</v>
      </c>
      <c r="H67" s="2">
        <v>42732.6</v>
      </c>
      <c r="I67" s="1"/>
      <c r="J67" s="1"/>
      <c r="K67" s="1"/>
      <c r="L67" s="7"/>
      <c r="M67" s="7"/>
      <c r="N67" s="7"/>
    </row>
    <row r="68" spans="2:14" ht="51">
      <c r="B68" s="1" t="s">
        <v>110</v>
      </c>
      <c r="C68" s="3" t="s">
        <v>483</v>
      </c>
      <c r="D68" s="1" t="s">
        <v>111</v>
      </c>
      <c r="E68" s="1"/>
      <c r="F68" s="1">
        <v>277923.9</v>
      </c>
      <c r="G68" s="1">
        <v>194071.3</v>
      </c>
      <c r="H68" s="1">
        <v>83852.6</v>
      </c>
      <c r="I68" s="1">
        <f>H68/H67*C5</f>
        <v>6993.89779512597</v>
      </c>
      <c r="J68" s="30">
        <f>I68/C5/12</f>
        <v>0.16352191691277077</v>
      </c>
      <c r="K68" s="42">
        <f>J68*C5*3</f>
        <v>1748.4744487814926</v>
      </c>
      <c r="L68" s="7">
        <f>J68*C5*6</f>
        <v>3496.948897562985</v>
      </c>
      <c r="M68" s="7">
        <f>J68*C5*9</f>
        <v>5245.423346344478</v>
      </c>
      <c r="N68" s="7">
        <f>J68*C5*12</f>
        <v>6993.89779512597</v>
      </c>
    </row>
    <row r="69" spans="2:14" ht="12.75">
      <c r="B69" s="1"/>
      <c r="C69" s="3"/>
      <c r="D69" s="1" t="s">
        <v>53</v>
      </c>
      <c r="E69" s="1"/>
      <c r="F69" s="1">
        <v>94494.1</v>
      </c>
      <c r="G69" s="1">
        <v>65984.3</v>
      </c>
      <c r="H69" s="1">
        <v>28509.9</v>
      </c>
      <c r="I69" s="1">
        <f>H69/H67*C5</f>
        <v>2377.9265848555906</v>
      </c>
      <c r="J69" s="30">
        <f>I69/C5/12</f>
        <v>0.05559748295212555</v>
      </c>
      <c r="K69" s="42">
        <f>J69*C5*3</f>
        <v>594.4816462138976</v>
      </c>
      <c r="L69" s="7">
        <f>J69*C5*6</f>
        <v>1188.9632924277953</v>
      </c>
      <c r="M69" s="7">
        <f>J69*C5*9</f>
        <v>1783.444938641693</v>
      </c>
      <c r="N69" s="7">
        <f>J69*C5*12</f>
        <v>2377.9265848555906</v>
      </c>
    </row>
    <row r="70" spans="2:14" ht="12.75">
      <c r="B70" s="1"/>
      <c r="C70" s="3"/>
      <c r="D70" s="1" t="s">
        <v>536</v>
      </c>
      <c r="E70" s="1"/>
      <c r="F70" s="1">
        <v>79948</v>
      </c>
      <c r="G70" s="1">
        <v>55826.9</v>
      </c>
      <c r="H70" s="1">
        <v>24121.1</v>
      </c>
      <c r="I70" s="1">
        <f>H70/H67*C5</f>
        <v>2011.8697345820285</v>
      </c>
      <c r="J70" s="30">
        <f>I70/C5/12</f>
        <v>0.04703883373973656</v>
      </c>
      <c r="K70" s="42">
        <f>J70*C5*3</f>
        <v>502.96743364550707</v>
      </c>
      <c r="L70" s="7">
        <f>J70*C5*6</f>
        <v>1005.9348672910141</v>
      </c>
      <c r="M70" s="7">
        <f>J70*C5*9</f>
        <v>1508.9023009365212</v>
      </c>
      <c r="N70" s="7">
        <f>J70*C5*12</f>
        <v>2011.8697345820283</v>
      </c>
    </row>
    <row r="71" spans="2:14" ht="25.5">
      <c r="B71" s="1"/>
      <c r="C71" s="3"/>
      <c r="D71" s="3" t="s">
        <v>112</v>
      </c>
      <c r="E71" s="1"/>
      <c r="F71" s="1">
        <v>882609.2</v>
      </c>
      <c r="G71" s="1">
        <v>344178.5</v>
      </c>
      <c r="H71" s="1">
        <v>538430.8</v>
      </c>
      <c r="I71" s="1">
        <f>H71/H67*C5</f>
        <v>44908.92333628191</v>
      </c>
      <c r="J71" s="30">
        <f>I71/C5/12</f>
        <v>1.050000078004459</v>
      </c>
      <c r="K71" s="42">
        <f>J71*C5*3</f>
        <v>11227.230834070477</v>
      </c>
      <c r="L71" s="7">
        <f>J71*C5*6</f>
        <v>22454.461668140953</v>
      </c>
      <c r="M71" s="7">
        <f>J71*C5*9</f>
        <v>33681.69250221143</v>
      </c>
      <c r="N71" s="7">
        <f>J71*C5*12</f>
        <v>44908.92333628191</v>
      </c>
    </row>
    <row r="72" spans="2:14" ht="12.75">
      <c r="B72" s="1"/>
      <c r="C72" s="3"/>
      <c r="D72" s="1"/>
      <c r="E72" s="1"/>
      <c r="F72" s="1"/>
      <c r="G72" s="1"/>
      <c r="H72" s="1"/>
      <c r="I72" s="1"/>
      <c r="J72" s="30"/>
      <c r="K72" s="42"/>
      <c r="L72" s="7"/>
      <c r="M72" s="7"/>
      <c r="N72" s="7"/>
    </row>
    <row r="73" spans="2:14" ht="12.75">
      <c r="B73" s="1"/>
      <c r="C73" s="4" t="s">
        <v>60</v>
      </c>
      <c r="D73" s="2"/>
      <c r="E73" s="2"/>
      <c r="F73" s="2">
        <v>1334975.3</v>
      </c>
      <c r="G73" s="2">
        <v>660060.9</v>
      </c>
      <c r="H73" s="2">
        <v>674914.3</v>
      </c>
      <c r="I73" s="2">
        <f aca="true" t="shared" si="5" ref="I73:N73">SUM(I68:I72)</f>
        <v>56292.6174508455</v>
      </c>
      <c r="J73" s="31">
        <f t="shared" si="5"/>
        <v>1.3161583116090918</v>
      </c>
      <c r="K73" s="43">
        <f t="shared" si="5"/>
        <v>14073.154362711375</v>
      </c>
      <c r="L73" s="6">
        <f t="shared" si="5"/>
        <v>28146.30872542275</v>
      </c>
      <c r="M73" s="6">
        <f t="shared" si="5"/>
        <v>42219.46308813412</v>
      </c>
      <c r="N73" s="6">
        <f t="shared" si="5"/>
        <v>56292.6174508455</v>
      </c>
    </row>
    <row r="74" spans="2:14" ht="12.75">
      <c r="B74" s="1" t="s">
        <v>113</v>
      </c>
      <c r="C74" s="4" t="s">
        <v>484</v>
      </c>
      <c r="D74" s="2"/>
      <c r="E74" s="2">
        <v>15</v>
      </c>
      <c r="F74" s="2">
        <v>1600212</v>
      </c>
      <c r="G74" s="2"/>
      <c r="H74" s="2">
        <v>1600212</v>
      </c>
      <c r="I74" s="2">
        <f>I75+I76</f>
        <v>125317.272</v>
      </c>
      <c r="J74" s="31">
        <f>J75+J76</f>
        <v>2.9300000000000006</v>
      </c>
      <c r="K74" s="2">
        <f>J74*C5*3</f>
        <v>31329.318000000007</v>
      </c>
      <c r="L74" s="6">
        <f>J74*C5*6</f>
        <v>62658.63600000001</v>
      </c>
      <c r="M74" s="6">
        <f>J74*C5*9</f>
        <v>93987.95400000001</v>
      </c>
      <c r="N74" s="6">
        <f>J74*C5*12</f>
        <v>125317.27200000003</v>
      </c>
    </row>
    <row r="75" spans="2:14" ht="12.75">
      <c r="B75" s="1"/>
      <c r="C75" s="3" t="s">
        <v>114</v>
      </c>
      <c r="D75" s="1"/>
      <c r="E75" s="1"/>
      <c r="F75" s="1">
        <v>1431000</v>
      </c>
      <c r="G75" s="1"/>
      <c r="H75" s="1">
        <v>1431000</v>
      </c>
      <c r="I75" s="1">
        <f>2.79*C5*12</f>
        <v>119329.416</v>
      </c>
      <c r="J75" s="30">
        <f>I75/C5/12</f>
        <v>2.7900000000000005</v>
      </c>
      <c r="K75" s="1">
        <f>J75*C5*3</f>
        <v>29832.354</v>
      </c>
      <c r="L75" s="7">
        <f>J75*C5*6</f>
        <v>59664.708</v>
      </c>
      <c r="M75" s="7">
        <f>J75*C5*9</f>
        <v>89497.062</v>
      </c>
      <c r="N75" s="7">
        <f>J75*C5*12</f>
        <v>119329.416</v>
      </c>
    </row>
    <row r="76" spans="2:14" ht="12.75">
      <c r="B76" s="1"/>
      <c r="C76" s="3" t="s">
        <v>115</v>
      </c>
      <c r="D76" s="1"/>
      <c r="E76" s="1"/>
      <c r="F76" s="1">
        <v>169212</v>
      </c>
      <c r="G76" s="1"/>
      <c r="H76" s="1">
        <v>169212</v>
      </c>
      <c r="I76" s="1">
        <f>0.14*C5*12</f>
        <v>5987.856</v>
      </c>
      <c r="J76" s="30">
        <f>I76/C5/12</f>
        <v>0.13999999999999999</v>
      </c>
      <c r="K76" s="1">
        <f>J76*C5*3</f>
        <v>1496.964</v>
      </c>
      <c r="L76" s="7">
        <f>J76*C5*6</f>
        <v>2993.928</v>
      </c>
      <c r="M76" s="7">
        <f>J76*C5*9</f>
        <v>4490.892</v>
      </c>
      <c r="N76" s="7">
        <f>J76*C5*12</f>
        <v>5987.856</v>
      </c>
    </row>
    <row r="77" spans="2:14" ht="12.75">
      <c r="B77" s="1" t="s">
        <v>116</v>
      </c>
      <c r="C77" s="3" t="s">
        <v>485</v>
      </c>
      <c r="D77" s="1"/>
      <c r="E77" s="1"/>
      <c r="F77" s="1"/>
      <c r="G77" s="1"/>
      <c r="H77" s="1"/>
      <c r="I77" s="1"/>
      <c r="J77" s="1"/>
      <c r="K77" s="1"/>
      <c r="L77" s="7"/>
      <c r="M77" s="7"/>
      <c r="N77" s="7"/>
    </row>
    <row r="78" spans="2:14" ht="12.75">
      <c r="B78" s="1"/>
      <c r="C78" s="3"/>
      <c r="D78" s="1"/>
      <c r="E78" s="1"/>
      <c r="F78" s="1"/>
      <c r="G78" s="1"/>
      <c r="H78" s="1"/>
      <c r="I78" s="1"/>
      <c r="J78" s="1"/>
      <c r="K78" s="1"/>
      <c r="L78" s="7"/>
      <c r="M78" s="7"/>
      <c r="N78" s="7"/>
    </row>
    <row r="79" spans="2:14" ht="12.75">
      <c r="B79" s="2" t="s">
        <v>117</v>
      </c>
      <c r="C79" s="4"/>
      <c r="D79" s="2"/>
      <c r="E79" s="2"/>
      <c r="F79" s="2">
        <v>19547580.6</v>
      </c>
      <c r="G79" s="2">
        <v>11502035</v>
      </c>
      <c r="H79" s="2">
        <v>8045545.6</v>
      </c>
      <c r="I79" s="2">
        <f>I32+I41+I42+I49+I58+I66+I73+I74</f>
        <v>805743.413349408</v>
      </c>
      <c r="J79" s="31">
        <f>J32+J41+J42+J49+J58+J66+J73+J74</f>
        <v>18.83880939503507</v>
      </c>
      <c r="K79" s="43">
        <f>J79*C5*3</f>
        <v>201435.853337352</v>
      </c>
      <c r="L79" s="6">
        <f>L32+L41+L42+L49+L58+L66+L73+L74</f>
        <v>402871.706674704</v>
      </c>
      <c r="M79" s="6">
        <f>M32+M41+M42+M49+M58+M66+M73+M74</f>
        <v>604307.560012056</v>
      </c>
      <c r="N79" s="6">
        <f>N32+N41+N42+N49+N58+N66+N73+N74</f>
        <v>805743.413349408</v>
      </c>
    </row>
    <row r="80" spans="2:14" ht="12.75">
      <c r="B80" s="1"/>
      <c r="C80" s="3" t="s">
        <v>118</v>
      </c>
      <c r="D80" s="1"/>
      <c r="E80" s="1"/>
      <c r="F80" s="1">
        <v>1724360</v>
      </c>
      <c r="G80" s="1">
        <v>1204102.5</v>
      </c>
      <c r="H80" s="1">
        <v>520257.5</v>
      </c>
      <c r="I80" s="1">
        <f>H80/H79*I79</f>
        <v>52102.62606312611</v>
      </c>
      <c r="J80" s="30">
        <f>I80/C5/12</f>
        <v>1.2181935652490066</v>
      </c>
      <c r="K80" s="42">
        <f>J80*C5*3</f>
        <v>13025.656515781526</v>
      </c>
      <c r="L80" s="7">
        <f>J80*C5*6</f>
        <v>26051.31303156305</v>
      </c>
      <c r="M80" s="7">
        <f>J80*C5*9</f>
        <v>39076.969547344575</v>
      </c>
      <c r="N80" s="7">
        <f>J80*C5*12</f>
        <v>52102.6260631261</v>
      </c>
    </row>
    <row r="81" spans="2:14" ht="25.5">
      <c r="B81" s="1"/>
      <c r="C81" s="3" t="s">
        <v>119</v>
      </c>
      <c r="D81" s="1"/>
      <c r="E81" s="1"/>
      <c r="F81" s="1">
        <v>5396925.11</v>
      </c>
      <c r="G81" s="1">
        <v>3223686.7</v>
      </c>
      <c r="H81" s="1">
        <v>2173238.4</v>
      </c>
      <c r="I81" s="1">
        <f>H81/(H79+H80)*(I79+I80)</f>
        <v>217644.96946459493</v>
      </c>
      <c r="J81" s="30">
        <f>I81/C5/12</f>
        <v>5.088682113438147</v>
      </c>
      <c r="K81" s="42">
        <f>C5*3</f>
        <v>10692.599999999999</v>
      </c>
      <c r="L81" s="7">
        <f>J81*C5*6</f>
        <v>108822.48473229747</v>
      </c>
      <c r="M81" s="7">
        <f>J81*C5*9</f>
        <v>163233.7270984462</v>
      </c>
      <c r="N81" s="7">
        <f>J81*C5*12</f>
        <v>217644.96946459493</v>
      </c>
    </row>
    <row r="82" spans="2:14" ht="12.75">
      <c r="B82" s="2" t="s">
        <v>590</v>
      </c>
      <c r="C82" s="4"/>
      <c r="D82" s="2"/>
      <c r="E82" s="2"/>
      <c r="F82" s="2">
        <v>26668865.67</v>
      </c>
      <c r="G82" s="2">
        <v>15929824.3</v>
      </c>
      <c r="H82" s="2">
        <v>10739041.4</v>
      </c>
      <c r="I82" s="2">
        <f>I79+I80+I81</f>
        <v>1075491.008877129</v>
      </c>
      <c r="J82" s="31">
        <f>J79+J80+J81</f>
        <v>25.145685073722223</v>
      </c>
      <c r="K82" s="43">
        <f>J82*C5*3</f>
        <v>268872.7522192822</v>
      </c>
      <c r="L82" s="6">
        <f>SUM(L79:L81)</f>
        <v>537745.5044385645</v>
      </c>
      <c r="M82" s="6">
        <f>SUM(M79:M81)</f>
        <v>806618.2566578469</v>
      </c>
      <c r="N82" s="6">
        <f>SUM(N79:N81)</f>
        <v>1075491.008877129</v>
      </c>
    </row>
    <row r="83" spans="2:14" ht="12.75">
      <c r="B83" s="1" t="s">
        <v>120</v>
      </c>
      <c r="C83" s="3"/>
      <c r="D83" s="1"/>
      <c r="E83" s="1"/>
      <c r="F83" s="1">
        <v>1333443.28</v>
      </c>
      <c r="G83" s="1">
        <v>796491.2</v>
      </c>
      <c r="H83" s="1">
        <v>536952.07</v>
      </c>
      <c r="I83" s="1"/>
      <c r="J83" s="30"/>
      <c r="K83" s="42"/>
      <c r="L83" s="7"/>
      <c r="M83" s="7"/>
      <c r="N83" s="7"/>
    </row>
    <row r="84" spans="2:14" ht="25.5">
      <c r="B84" s="1"/>
      <c r="C84" s="4" t="s">
        <v>121</v>
      </c>
      <c r="D84" s="2"/>
      <c r="E84" s="2"/>
      <c r="F84" s="2">
        <v>28002308.95</v>
      </c>
      <c r="G84" s="2">
        <v>16726315.5</v>
      </c>
      <c r="H84" s="2">
        <v>11275993.5</v>
      </c>
      <c r="I84" s="2">
        <f>I82+I83</f>
        <v>1075491.008877129</v>
      </c>
      <c r="J84" s="31">
        <f>J82+J83</f>
        <v>25.145685073722223</v>
      </c>
      <c r="K84" s="2">
        <f>J84*C5*3</f>
        <v>268872.7522192822</v>
      </c>
      <c r="L84" s="6">
        <f>L82+L83</f>
        <v>537745.5044385645</v>
      </c>
      <c r="M84" s="6">
        <f>M82+M83</f>
        <v>806618.2566578469</v>
      </c>
      <c r="N84" s="6">
        <f>N82+N83</f>
        <v>1075491.008877129</v>
      </c>
    </row>
    <row r="85" spans="2:14" ht="12.75">
      <c r="B85" s="1"/>
      <c r="C85" s="3"/>
      <c r="D85" s="1"/>
      <c r="E85" s="1"/>
      <c r="F85" s="1"/>
      <c r="G85" s="1"/>
      <c r="H85" s="1"/>
      <c r="I85" s="1"/>
      <c r="J85" s="1"/>
      <c r="K85" s="1"/>
      <c r="L85" s="7"/>
      <c r="M85" s="7"/>
      <c r="N85" s="7"/>
    </row>
    <row r="86" spans="2:14" ht="12.75">
      <c r="B86" s="1"/>
      <c r="C86" s="1" t="s">
        <v>514</v>
      </c>
      <c r="D86" s="1"/>
      <c r="E86" s="1"/>
      <c r="F86" s="1"/>
      <c r="G86" s="1"/>
      <c r="H86" s="1"/>
      <c r="I86" s="1"/>
      <c r="J86" s="1">
        <v>22.5</v>
      </c>
      <c r="K86" s="1"/>
      <c r="L86" s="7"/>
      <c r="M86" s="7"/>
      <c r="N86" s="7"/>
    </row>
    <row r="87" spans="2:14" ht="12.75">
      <c r="B87" s="1"/>
      <c r="C87" s="1"/>
      <c r="D87" s="1"/>
      <c r="E87" s="1"/>
      <c r="F87" s="1"/>
      <c r="G87" s="1"/>
      <c r="H87" s="1"/>
      <c r="I87" s="1"/>
      <c r="J87" s="1">
        <v>3.5</v>
      </c>
      <c r="K87" s="1"/>
      <c r="L87" s="7"/>
      <c r="M87" s="7"/>
      <c r="N87" s="7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 t="s">
        <v>368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 t="s">
        <v>369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370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371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 t="s">
        <v>372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 t="s">
        <v>369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370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371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 t="s">
        <v>374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</sheetData>
  <mergeCells count="16">
    <mergeCell ref="B13:B17"/>
    <mergeCell ref="C13:C17"/>
    <mergeCell ref="D13:D17"/>
    <mergeCell ref="E13:E17"/>
    <mergeCell ref="K13:N13"/>
    <mergeCell ref="K14:K17"/>
    <mergeCell ref="L14:L17"/>
    <mergeCell ref="M14:M17"/>
    <mergeCell ref="N14:N17"/>
    <mergeCell ref="I14:I17"/>
    <mergeCell ref="J14:J17"/>
    <mergeCell ref="F13:F17"/>
    <mergeCell ref="G13:H13"/>
    <mergeCell ref="I13:J13"/>
    <mergeCell ref="G14:G17"/>
    <mergeCell ref="H14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4:G101"/>
  <sheetViews>
    <sheetView tabSelected="1" workbookViewId="0" topLeftCell="A4">
      <pane xSplit="1" ySplit="15" topLeftCell="B84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M96" sqref="M96"/>
    </sheetView>
  </sheetViews>
  <sheetFormatPr defaultColWidth="9.140625" defaultRowHeight="12.75"/>
  <cols>
    <col min="2" max="2" width="11.57421875" style="0" customWidth="1"/>
    <col min="3" max="3" width="30.140625" style="0" customWidth="1"/>
    <col min="4" max="4" width="16.57421875" style="0" customWidth="1"/>
    <col min="5" max="5" width="12.28125" style="0" customWidth="1"/>
    <col min="6" max="6" width="13.8515625" style="0" customWidth="1"/>
  </cols>
  <sheetData>
    <row r="4" spans="2:3" ht="12.75">
      <c r="B4" t="s">
        <v>487</v>
      </c>
      <c r="C4" s="5" t="s">
        <v>127</v>
      </c>
    </row>
    <row r="5" spans="2:3" ht="12.75">
      <c r="B5" t="s">
        <v>488</v>
      </c>
      <c r="C5">
        <v>4710.6</v>
      </c>
    </row>
    <row r="6" spans="2:3" ht="12.75">
      <c r="B6" t="s">
        <v>489</v>
      </c>
      <c r="C6">
        <v>2107.8</v>
      </c>
    </row>
    <row r="7" spans="2:3" ht="12.75">
      <c r="B7" t="s">
        <v>490</v>
      </c>
      <c r="C7">
        <v>486.6</v>
      </c>
    </row>
    <row r="8" spans="2:3" ht="12.75">
      <c r="B8" t="s">
        <v>491</v>
      </c>
      <c r="C8">
        <v>444.9</v>
      </c>
    </row>
    <row r="9" spans="2:3" ht="12.75">
      <c r="B9" t="s">
        <v>492</v>
      </c>
      <c r="C9">
        <v>6</v>
      </c>
    </row>
    <row r="10" spans="2:3" ht="12.75">
      <c r="B10" t="s">
        <v>493</v>
      </c>
      <c r="C10">
        <v>100</v>
      </c>
    </row>
    <row r="11" spans="2:3" ht="12.75">
      <c r="B11" t="s">
        <v>494</v>
      </c>
      <c r="C11">
        <v>5</v>
      </c>
    </row>
    <row r="14" spans="2:6" ht="12.75" customHeight="1">
      <c r="B14" s="86" t="s">
        <v>40</v>
      </c>
      <c r="C14" s="86" t="s">
        <v>22</v>
      </c>
      <c r="D14" s="86" t="s">
        <v>41</v>
      </c>
      <c r="E14" s="87" t="s">
        <v>148</v>
      </c>
      <c r="F14" s="88"/>
    </row>
    <row r="15" spans="2:6" ht="12.75" customHeight="1">
      <c r="B15" s="86"/>
      <c r="C15" s="86"/>
      <c r="D15" s="86"/>
      <c r="E15" s="86" t="s">
        <v>125</v>
      </c>
      <c r="F15" s="86" t="s">
        <v>307</v>
      </c>
    </row>
    <row r="16" spans="2:6" ht="12.75">
      <c r="B16" s="86"/>
      <c r="C16" s="86"/>
      <c r="D16" s="86"/>
      <c r="E16" s="86"/>
      <c r="F16" s="86"/>
    </row>
    <row r="17" spans="2:6" ht="12.75">
      <c r="B17" s="86"/>
      <c r="C17" s="86"/>
      <c r="D17" s="86"/>
      <c r="E17" s="86"/>
      <c r="F17" s="86"/>
    </row>
    <row r="18" spans="2:6" ht="12.75">
      <c r="B18" s="86"/>
      <c r="C18" s="86"/>
      <c r="D18" s="86"/>
      <c r="E18" s="86"/>
      <c r="F18" s="86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4" t="s">
        <v>46</v>
      </c>
      <c r="D22" s="2"/>
      <c r="E22" s="1"/>
      <c r="F22" s="1"/>
    </row>
    <row r="23" spans="2:6" ht="12.75">
      <c r="B23" s="1"/>
      <c r="C23" s="3"/>
      <c r="D23" s="1"/>
      <c r="E23" s="1"/>
      <c r="F23" s="1"/>
    </row>
    <row r="24" spans="2:6" ht="12.75">
      <c r="B24" s="1" t="s">
        <v>47</v>
      </c>
      <c r="C24" s="4" t="s">
        <v>23</v>
      </c>
      <c r="D24" s="2"/>
      <c r="E24" s="1"/>
      <c r="F24" s="1"/>
    </row>
    <row r="25" spans="2:6" ht="25.5">
      <c r="B25" s="1" t="s">
        <v>48</v>
      </c>
      <c r="C25" s="4" t="s">
        <v>24</v>
      </c>
      <c r="D25" s="2"/>
      <c r="E25" s="1"/>
      <c r="F25" s="1"/>
    </row>
    <row r="26" spans="2:6" ht="38.25">
      <c r="B26" s="1" t="s">
        <v>49</v>
      </c>
      <c r="C26" s="3" t="s">
        <v>25</v>
      </c>
      <c r="D26" s="1"/>
      <c r="E26" s="1"/>
      <c r="F26" s="1"/>
    </row>
    <row r="27" spans="2:6" ht="38.25">
      <c r="B27" s="1" t="s">
        <v>50</v>
      </c>
      <c r="C27" s="3" t="s">
        <v>26</v>
      </c>
      <c r="D27" s="1" t="s">
        <v>51</v>
      </c>
      <c r="E27" s="30"/>
      <c r="F27" s="48"/>
    </row>
    <row r="28" spans="2:6" ht="38.25">
      <c r="B28" s="1" t="s">
        <v>52</v>
      </c>
      <c r="C28" s="3" t="s">
        <v>27</v>
      </c>
      <c r="D28" s="1" t="s">
        <v>53</v>
      </c>
      <c r="E28" s="30"/>
      <c r="F28" s="48"/>
    </row>
    <row r="29" spans="2:6" ht="12.75">
      <c r="B29" s="1" t="s">
        <v>54</v>
      </c>
      <c r="C29" s="3"/>
      <c r="D29" s="1" t="s">
        <v>536</v>
      </c>
      <c r="E29" s="30"/>
      <c r="F29" s="48"/>
    </row>
    <row r="30" spans="2:6" ht="12.75">
      <c r="B30" s="1" t="s">
        <v>55</v>
      </c>
      <c r="C30" s="3"/>
      <c r="D30" s="1"/>
      <c r="E30" s="1"/>
      <c r="F30" s="48"/>
    </row>
    <row r="31" spans="2:6" ht="25.5">
      <c r="B31" s="1" t="s">
        <v>56</v>
      </c>
      <c r="C31" s="3"/>
      <c r="D31" s="3" t="s">
        <v>58</v>
      </c>
      <c r="E31" s="1"/>
      <c r="F31" s="48"/>
    </row>
    <row r="32" spans="2:6" ht="12.75">
      <c r="B32" s="1" t="s">
        <v>59</v>
      </c>
      <c r="C32" s="3"/>
      <c r="D32" s="1"/>
      <c r="E32" s="1"/>
      <c r="F32" s="48"/>
    </row>
    <row r="33" spans="2:7" ht="12.75">
      <c r="B33" s="1"/>
      <c r="C33" s="4" t="s">
        <v>60</v>
      </c>
      <c r="D33" s="2"/>
      <c r="E33" s="31"/>
      <c r="F33" s="2"/>
      <c r="G33" s="5"/>
    </row>
    <row r="34" spans="2:6" ht="51">
      <c r="B34" s="1" t="s">
        <v>61</v>
      </c>
      <c r="C34" s="4" t="s">
        <v>31</v>
      </c>
      <c r="D34" s="2"/>
      <c r="E34" s="1"/>
      <c r="F34" s="1"/>
    </row>
    <row r="35" spans="2:6" ht="25.5">
      <c r="B35" s="1" t="s">
        <v>62</v>
      </c>
      <c r="C35" s="3" t="s">
        <v>32</v>
      </c>
      <c r="D35" s="1" t="s">
        <v>51</v>
      </c>
      <c r="E35" s="30"/>
      <c r="F35" s="1"/>
    </row>
    <row r="36" spans="2:6" ht="12.75">
      <c r="B36" s="1" t="s">
        <v>63</v>
      </c>
      <c r="C36" s="3" t="s">
        <v>64</v>
      </c>
      <c r="D36" s="1" t="s">
        <v>53</v>
      </c>
      <c r="E36" s="30"/>
      <c r="F36" s="1"/>
    </row>
    <row r="37" spans="2:6" ht="12.75">
      <c r="B37" s="1" t="s">
        <v>65</v>
      </c>
      <c r="C37" s="3" t="s">
        <v>66</v>
      </c>
      <c r="D37" s="1" t="s">
        <v>536</v>
      </c>
      <c r="E37" s="30"/>
      <c r="F37" s="1"/>
    </row>
    <row r="38" spans="2:6" ht="25.5">
      <c r="B38" s="1" t="s">
        <v>67</v>
      </c>
      <c r="C38" s="3" t="s">
        <v>34</v>
      </c>
      <c r="D38" s="1" t="s">
        <v>68</v>
      </c>
      <c r="E38" s="30"/>
      <c r="F38" s="1"/>
    </row>
    <row r="39" spans="2:6" ht="25.5">
      <c r="B39" s="1" t="s">
        <v>69</v>
      </c>
      <c r="C39" s="3" t="s">
        <v>35</v>
      </c>
      <c r="D39" s="1"/>
      <c r="E39" s="1"/>
      <c r="F39" s="1"/>
    </row>
    <row r="40" spans="2:6" ht="25.5">
      <c r="B40" s="1" t="s">
        <v>70</v>
      </c>
      <c r="C40" s="4" t="s">
        <v>151</v>
      </c>
      <c r="D40" s="1" t="s">
        <v>71</v>
      </c>
      <c r="E40" s="1"/>
      <c r="F40" s="1"/>
    </row>
    <row r="41" spans="2:6" ht="12.75">
      <c r="B41" s="1" t="s">
        <v>72</v>
      </c>
      <c r="C41" s="3" t="s">
        <v>73</v>
      </c>
      <c r="D41" s="1"/>
      <c r="E41" s="30"/>
      <c r="F41" s="1"/>
    </row>
    <row r="42" spans="2:7" ht="12.75">
      <c r="B42" s="1"/>
      <c r="C42" s="4" t="s">
        <v>60</v>
      </c>
      <c r="D42" s="2"/>
      <c r="E42" s="31"/>
      <c r="F42" s="2"/>
      <c r="G42" s="5"/>
    </row>
    <row r="43" spans="2:7" ht="25.5">
      <c r="B43" s="1" t="s">
        <v>74</v>
      </c>
      <c r="C43" s="4" t="s">
        <v>37</v>
      </c>
      <c r="D43" s="2"/>
      <c r="E43" s="31"/>
      <c r="F43" s="2"/>
      <c r="G43" s="5"/>
    </row>
    <row r="44" spans="2:6" ht="38.25">
      <c r="B44" s="1" t="s">
        <v>75</v>
      </c>
      <c r="C44" s="4" t="s">
        <v>38</v>
      </c>
      <c r="D44" s="2"/>
      <c r="E44" s="2"/>
      <c r="F44" s="1"/>
    </row>
    <row r="45" spans="2:6" ht="76.5">
      <c r="B45" s="1" t="s">
        <v>76</v>
      </c>
      <c r="C45" s="3" t="s">
        <v>205</v>
      </c>
      <c r="D45" s="1" t="s">
        <v>51</v>
      </c>
      <c r="E45" s="30"/>
      <c r="F45" s="1"/>
    </row>
    <row r="46" spans="2:6" ht="63.75">
      <c r="B46" s="1" t="s">
        <v>78</v>
      </c>
      <c r="C46" s="3" t="s">
        <v>423</v>
      </c>
      <c r="D46" s="1" t="s">
        <v>53</v>
      </c>
      <c r="E46" s="30"/>
      <c r="F46" s="1"/>
    </row>
    <row r="47" spans="2:6" ht="102">
      <c r="B47" s="1" t="s">
        <v>80</v>
      </c>
      <c r="C47" s="29" t="s">
        <v>129</v>
      </c>
      <c r="D47" s="1" t="s">
        <v>536</v>
      </c>
      <c r="E47" s="30"/>
      <c r="F47" s="1"/>
    </row>
    <row r="48" spans="2:6" ht="12.75">
      <c r="B48" s="1"/>
      <c r="C48" s="3"/>
      <c r="D48" s="1"/>
      <c r="E48" s="1"/>
      <c r="F48" s="1"/>
    </row>
    <row r="49" spans="2:6" ht="25.5">
      <c r="B49" s="1"/>
      <c r="C49" s="4" t="s">
        <v>265</v>
      </c>
      <c r="D49" s="1" t="s">
        <v>71</v>
      </c>
      <c r="E49" s="1"/>
      <c r="F49" s="1"/>
    </row>
    <row r="50" spans="2:7" ht="12.75">
      <c r="B50" s="1"/>
      <c r="C50" s="4" t="s">
        <v>60</v>
      </c>
      <c r="D50" s="2"/>
      <c r="E50" s="31"/>
      <c r="F50" s="2"/>
      <c r="G50" s="5"/>
    </row>
    <row r="51" spans="2:6" ht="51">
      <c r="B51" s="1" t="s">
        <v>81</v>
      </c>
      <c r="C51" s="4" t="s">
        <v>39</v>
      </c>
      <c r="D51" s="2"/>
      <c r="E51" s="1"/>
      <c r="F51" s="1"/>
    </row>
    <row r="52" spans="2:6" ht="38.25">
      <c r="B52" s="1" t="s">
        <v>82</v>
      </c>
      <c r="C52" s="3" t="s">
        <v>83</v>
      </c>
      <c r="D52" s="1" t="s">
        <v>51</v>
      </c>
      <c r="E52" s="30"/>
      <c r="F52" s="1"/>
    </row>
    <row r="53" spans="2:6" ht="51">
      <c r="B53" s="1" t="s">
        <v>84</v>
      </c>
      <c r="C53" s="3" t="s">
        <v>85</v>
      </c>
      <c r="D53" s="1" t="s">
        <v>53</v>
      </c>
      <c r="E53" s="30"/>
      <c r="F53" s="1"/>
    </row>
    <row r="54" spans="2:6" ht="63.75">
      <c r="B54" s="1" t="s">
        <v>86</v>
      </c>
      <c r="C54" s="3" t="s">
        <v>87</v>
      </c>
      <c r="D54" s="1" t="s">
        <v>536</v>
      </c>
      <c r="E54" s="30"/>
      <c r="F54" s="1"/>
    </row>
    <row r="55" spans="2:6" ht="51">
      <c r="B55" s="1" t="s">
        <v>88</v>
      </c>
      <c r="C55" s="3" t="s">
        <v>130</v>
      </c>
      <c r="D55" s="1"/>
      <c r="E55" s="1"/>
      <c r="F55" s="1"/>
    </row>
    <row r="56" spans="2:6" ht="51">
      <c r="B56" s="1" t="s">
        <v>89</v>
      </c>
      <c r="C56" s="3" t="s">
        <v>90</v>
      </c>
      <c r="D56" s="1" t="s">
        <v>71</v>
      </c>
      <c r="E56" s="1"/>
      <c r="F56" s="1"/>
    </row>
    <row r="57" spans="2:6" ht="76.5">
      <c r="B57" s="1" t="s">
        <v>91</v>
      </c>
      <c r="C57" s="3" t="s">
        <v>92</v>
      </c>
      <c r="D57" s="1"/>
      <c r="E57" s="1"/>
      <c r="F57" s="1"/>
    </row>
    <row r="58" spans="2:6" ht="25.5">
      <c r="B58" s="1" t="s">
        <v>93</v>
      </c>
      <c r="C58" s="3" t="s">
        <v>94</v>
      </c>
      <c r="D58" s="1"/>
      <c r="E58" s="1"/>
      <c r="F58" s="1"/>
    </row>
    <row r="59" spans="2:6" ht="12.75">
      <c r="B59" s="1"/>
      <c r="C59" s="4" t="s">
        <v>60</v>
      </c>
      <c r="D59" s="2"/>
      <c r="E59" s="31"/>
      <c r="F59" s="2"/>
    </row>
    <row r="60" spans="2:6" ht="51">
      <c r="B60" s="1" t="s">
        <v>95</v>
      </c>
      <c r="C60" s="4" t="s">
        <v>481</v>
      </c>
      <c r="D60" s="2"/>
      <c r="E60" s="1"/>
      <c r="F60" s="1"/>
    </row>
    <row r="61" spans="2:6" ht="63.75">
      <c r="B61" s="1" t="s">
        <v>96</v>
      </c>
      <c r="C61" s="3" t="s">
        <v>337</v>
      </c>
      <c r="D61" s="1" t="s">
        <v>51</v>
      </c>
      <c r="E61" s="30"/>
      <c r="F61" s="1"/>
    </row>
    <row r="62" spans="2:6" ht="12.75">
      <c r="B62" s="1" t="s">
        <v>98</v>
      </c>
      <c r="C62" s="3" t="s">
        <v>99</v>
      </c>
      <c r="D62" s="1" t="s">
        <v>53</v>
      </c>
      <c r="E62" s="30"/>
      <c r="F62" s="1"/>
    </row>
    <row r="63" spans="2:6" ht="12.75">
      <c r="B63" s="1" t="s">
        <v>100</v>
      </c>
      <c r="C63" s="3" t="s">
        <v>101</v>
      </c>
      <c r="D63" s="1" t="s">
        <v>536</v>
      </c>
      <c r="E63" s="30"/>
      <c r="F63" s="1"/>
    </row>
    <row r="64" spans="2:6" ht="38.25">
      <c r="B64" s="1" t="s">
        <v>102</v>
      </c>
      <c r="C64" s="3" t="s">
        <v>338</v>
      </c>
      <c r="D64" s="1"/>
      <c r="E64" s="30"/>
      <c r="F64" s="1"/>
    </row>
    <row r="65" spans="2:6" ht="38.25">
      <c r="B65" s="1" t="s">
        <v>104</v>
      </c>
      <c r="C65" s="3" t="s">
        <v>418</v>
      </c>
      <c r="D65" s="1" t="s">
        <v>71</v>
      </c>
      <c r="E65" s="30"/>
      <c r="F65" s="1"/>
    </row>
    <row r="66" spans="2:6" ht="63.75">
      <c r="B66" s="1" t="s">
        <v>105</v>
      </c>
      <c r="C66" s="3" t="s">
        <v>106</v>
      </c>
      <c r="D66" s="3" t="s">
        <v>107</v>
      </c>
      <c r="E66" s="30"/>
      <c r="F66" s="1"/>
    </row>
    <row r="67" spans="2:6" ht="12.75">
      <c r="B67" s="1"/>
      <c r="C67" s="4" t="s">
        <v>60</v>
      </c>
      <c r="D67" s="2"/>
      <c r="E67" s="31"/>
      <c r="F67" s="2"/>
    </row>
    <row r="68" spans="2:6" ht="12.75">
      <c r="B68" s="1" t="s">
        <v>109</v>
      </c>
      <c r="C68" s="4" t="s">
        <v>482</v>
      </c>
      <c r="D68" s="2"/>
      <c r="E68" s="1"/>
      <c r="F68" s="1"/>
    </row>
    <row r="69" spans="2:6" ht="89.25">
      <c r="B69" s="1" t="s">
        <v>110</v>
      </c>
      <c r="C69" s="3" t="s">
        <v>483</v>
      </c>
      <c r="D69" s="1" t="s">
        <v>111</v>
      </c>
      <c r="E69" s="30"/>
      <c r="F69" s="1"/>
    </row>
    <row r="70" spans="2:6" ht="12.75">
      <c r="B70" s="1"/>
      <c r="C70" s="3"/>
      <c r="D70" s="1" t="s">
        <v>53</v>
      </c>
      <c r="E70" s="30"/>
      <c r="F70" s="1"/>
    </row>
    <row r="71" spans="2:6" ht="12.75">
      <c r="B71" s="1"/>
      <c r="C71" s="3"/>
      <c r="D71" s="1" t="s">
        <v>536</v>
      </c>
      <c r="E71" s="30"/>
      <c r="F71" s="1"/>
    </row>
    <row r="72" spans="2:6" ht="25.5">
      <c r="B72" s="1"/>
      <c r="C72" s="3"/>
      <c r="D72" s="3" t="s">
        <v>112</v>
      </c>
      <c r="E72" s="30"/>
      <c r="F72" s="1"/>
    </row>
    <row r="73" spans="2:6" ht="12.75">
      <c r="B73" s="1"/>
      <c r="C73" s="3"/>
      <c r="D73" s="1"/>
      <c r="E73" s="30"/>
      <c r="F73" s="1"/>
    </row>
    <row r="74" spans="2:7" ht="12.75">
      <c r="B74" s="1"/>
      <c r="C74" s="4" t="s">
        <v>60</v>
      </c>
      <c r="D74" s="2"/>
      <c r="E74" s="31"/>
      <c r="F74" s="2"/>
      <c r="G74" s="5"/>
    </row>
    <row r="75" spans="2:6" ht="12.75">
      <c r="B75" s="1" t="s">
        <v>113</v>
      </c>
      <c r="C75" s="4" t="s">
        <v>484</v>
      </c>
      <c r="D75" s="2"/>
      <c r="E75" s="2"/>
      <c r="F75" s="1"/>
    </row>
    <row r="76" spans="2:6" ht="12.75">
      <c r="B76" s="1"/>
      <c r="C76" s="3" t="s">
        <v>114</v>
      </c>
      <c r="D76" s="1"/>
      <c r="E76" s="1"/>
      <c r="F76" s="1"/>
    </row>
    <row r="77" spans="2:6" ht="12.75">
      <c r="B77" s="1"/>
      <c r="C77" s="3" t="s">
        <v>115</v>
      </c>
      <c r="D77" s="1"/>
      <c r="E77" s="1"/>
      <c r="F77" s="1"/>
    </row>
    <row r="78" spans="2:6" ht="12.75">
      <c r="B78" s="1" t="s">
        <v>116</v>
      </c>
      <c r="C78" s="3" t="s">
        <v>485</v>
      </c>
      <c r="D78" s="1"/>
      <c r="E78" s="1"/>
      <c r="F78" s="1"/>
    </row>
    <row r="79" spans="2:6" ht="12.75">
      <c r="B79" s="1"/>
      <c r="C79" s="3"/>
      <c r="D79" s="1"/>
      <c r="E79" s="1"/>
      <c r="F79" s="1"/>
    </row>
    <row r="80" spans="2:6" ht="12.75">
      <c r="B80" s="2" t="s">
        <v>117</v>
      </c>
      <c r="C80" s="4"/>
      <c r="D80" s="2"/>
      <c r="E80" s="31"/>
      <c r="F80" s="2"/>
    </row>
    <row r="81" spans="2:6" ht="12.75">
      <c r="B81" s="1"/>
      <c r="C81" s="3" t="s">
        <v>118</v>
      </c>
      <c r="D81" s="1"/>
      <c r="E81" s="30"/>
      <c r="F81" s="1"/>
    </row>
    <row r="82" spans="2:6" ht="25.5">
      <c r="B82" s="1"/>
      <c r="C82" s="3" t="s">
        <v>119</v>
      </c>
      <c r="D82" s="1"/>
      <c r="E82" s="30"/>
      <c r="F82" s="1"/>
    </row>
    <row r="83" spans="2:6" ht="12.75">
      <c r="B83" s="2" t="s">
        <v>590</v>
      </c>
      <c r="C83" s="4"/>
      <c r="D83" s="2"/>
      <c r="E83" s="31"/>
      <c r="F83" s="2"/>
    </row>
    <row r="84" spans="2:6" ht="12.75">
      <c r="B84" s="1" t="s">
        <v>120</v>
      </c>
      <c r="C84" s="3"/>
      <c r="D84" s="1"/>
      <c r="E84" s="30"/>
      <c r="F84" s="1"/>
    </row>
    <row r="85" spans="2:6" ht="25.5">
      <c r="B85" s="1"/>
      <c r="C85" s="4" t="s">
        <v>121</v>
      </c>
      <c r="D85" s="2"/>
      <c r="E85" s="31"/>
      <c r="F85" s="2"/>
    </row>
    <row r="86" spans="2:6" ht="12.75">
      <c r="B86" s="1"/>
      <c r="C86" s="4" t="s">
        <v>193</v>
      </c>
      <c r="D86" s="2"/>
      <c r="E86" s="2"/>
      <c r="F86" s="2"/>
    </row>
    <row r="87" spans="2:6" ht="12.75">
      <c r="B87" s="1"/>
      <c r="C87" s="1" t="s">
        <v>514</v>
      </c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2" t="s">
        <v>231</v>
      </c>
      <c r="D90" s="1"/>
      <c r="E90" s="1"/>
      <c r="F90" s="1"/>
    </row>
    <row r="91" spans="2:6" ht="12.75">
      <c r="B91" s="1"/>
      <c r="C91" s="1" t="s">
        <v>219</v>
      </c>
      <c r="D91" s="1"/>
      <c r="E91" s="1"/>
      <c r="F91" s="1"/>
    </row>
    <row r="92" spans="2:6" ht="12.75">
      <c r="B92" s="1"/>
      <c r="C92" s="1" t="s">
        <v>220</v>
      </c>
      <c r="D92" s="1"/>
      <c r="E92" s="1"/>
      <c r="F92" s="1"/>
    </row>
    <row r="93" spans="2:6" ht="12.75">
      <c r="B93" s="1"/>
      <c r="C93" s="2" t="s">
        <v>221</v>
      </c>
      <c r="D93" s="1"/>
      <c r="E93" s="1"/>
      <c r="F93" s="1"/>
    </row>
    <row r="94" spans="2:6" ht="12.75">
      <c r="B94" s="1"/>
      <c r="C94" s="2" t="s">
        <v>232</v>
      </c>
      <c r="D94" s="1"/>
      <c r="E94" s="1"/>
      <c r="F94" s="1"/>
    </row>
    <row r="95" spans="2:6" ht="12.75">
      <c r="B95" s="1"/>
      <c r="C95" s="1" t="s">
        <v>219</v>
      </c>
      <c r="D95" s="1"/>
      <c r="E95" s="1"/>
      <c r="F95" s="1"/>
    </row>
    <row r="96" spans="2:6" ht="12.75">
      <c r="B96" s="1"/>
      <c r="C96" s="1" t="s">
        <v>220</v>
      </c>
      <c r="D96" s="1"/>
      <c r="E96" s="1"/>
      <c r="F96" s="1"/>
    </row>
    <row r="97" spans="2:6" ht="12.75">
      <c r="B97" s="1"/>
      <c r="C97" s="2" t="s">
        <v>221</v>
      </c>
      <c r="D97" s="1"/>
      <c r="E97" s="1"/>
      <c r="F97" s="1"/>
    </row>
    <row r="98" spans="2:6" ht="12.75">
      <c r="B98" s="1"/>
      <c r="C98" s="2" t="s">
        <v>233</v>
      </c>
      <c r="D98" s="1"/>
      <c r="E98" s="1"/>
      <c r="F98" s="1"/>
    </row>
    <row r="99" spans="2:6" ht="12.75">
      <c r="B99" s="1"/>
      <c r="C99" s="1" t="s">
        <v>219</v>
      </c>
      <c r="D99" s="1"/>
      <c r="E99" s="1"/>
      <c r="F99" s="1"/>
    </row>
    <row r="100" spans="2:6" ht="12.75">
      <c r="B100" s="1"/>
      <c r="C100" s="1" t="s">
        <v>220</v>
      </c>
      <c r="D100" s="1"/>
      <c r="E100" s="1"/>
      <c r="F100" s="1"/>
    </row>
    <row r="101" spans="2:6" ht="12.75">
      <c r="B101" s="1"/>
      <c r="C101" s="1"/>
      <c r="D101" s="1"/>
      <c r="E101" s="1"/>
      <c r="F101" s="1"/>
    </row>
  </sheetData>
  <mergeCells count="6">
    <mergeCell ref="B14:B18"/>
    <mergeCell ref="C14:C18"/>
    <mergeCell ref="D14:D18"/>
    <mergeCell ref="E15:E18"/>
    <mergeCell ref="E14:F14"/>
    <mergeCell ref="F15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4:O101"/>
  <sheetViews>
    <sheetView workbookViewId="0" topLeftCell="A4">
      <pane xSplit="1" ySplit="15" topLeftCell="B79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E22" sqref="E22:N101"/>
    </sheetView>
  </sheetViews>
  <sheetFormatPr defaultColWidth="9.140625" defaultRowHeight="12.75"/>
  <cols>
    <col min="2" max="2" width="10.57421875" style="0" customWidth="1"/>
    <col min="3" max="3" width="30.7109375" style="0" customWidth="1"/>
    <col min="4" max="4" width="15.57421875" style="0" customWidth="1"/>
    <col min="5" max="5" width="14.28125" style="0" customWidth="1"/>
    <col min="6" max="6" width="12.7109375" style="0" customWidth="1"/>
    <col min="7" max="7" width="11.57421875" style="0" customWidth="1"/>
    <col min="8" max="8" width="9.140625" style="0" customWidth="1"/>
    <col min="9" max="9" width="12.140625" style="0" customWidth="1"/>
    <col min="10" max="10" width="11.7109375" style="0" customWidth="1"/>
    <col min="11" max="11" width="13.00390625" style="0" hidden="1" customWidth="1"/>
    <col min="12" max="12" width="10.00390625" style="0" customWidth="1"/>
    <col min="13" max="13" width="11.28125" style="0" customWidth="1"/>
  </cols>
  <sheetData>
    <row r="4" spans="2:3" ht="12.75">
      <c r="B4" t="s">
        <v>487</v>
      </c>
      <c r="C4" s="5" t="s">
        <v>128</v>
      </c>
    </row>
    <row r="5" spans="2:3" ht="12.75">
      <c r="B5" t="s">
        <v>488</v>
      </c>
      <c r="C5">
        <v>1832</v>
      </c>
    </row>
    <row r="6" spans="2:3" ht="12.75">
      <c r="B6" t="s">
        <v>489</v>
      </c>
      <c r="C6">
        <v>1757.9</v>
      </c>
    </row>
    <row r="7" spans="2:3" ht="12.75">
      <c r="B7" t="s">
        <v>490</v>
      </c>
      <c r="C7">
        <v>381.6</v>
      </c>
    </row>
    <row r="8" spans="2:3" ht="12.75">
      <c r="B8" t="s">
        <v>491</v>
      </c>
      <c r="C8">
        <v>149.5</v>
      </c>
    </row>
    <row r="9" spans="2:3" ht="12.75">
      <c r="B9" t="s">
        <v>492</v>
      </c>
      <c r="C9">
        <v>3</v>
      </c>
    </row>
    <row r="10" spans="2:3" ht="12.75">
      <c r="B10" t="s">
        <v>493</v>
      </c>
      <c r="C10">
        <v>36</v>
      </c>
    </row>
    <row r="11" spans="2:3" ht="12.75">
      <c r="B11" t="s">
        <v>494</v>
      </c>
      <c r="C11">
        <v>3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173</v>
      </c>
      <c r="L15" s="80" t="s">
        <v>224</v>
      </c>
      <c r="M15" s="74" t="s">
        <v>306</v>
      </c>
      <c r="N15" s="82"/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0"/>
      <c r="M16" s="74"/>
      <c r="N16" s="82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0"/>
      <c r="M17" s="74"/>
      <c r="N17" s="82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0"/>
      <c r="M18" s="74"/>
      <c r="N18" s="82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45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45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45"/>
      <c r="L21" s="1"/>
      <c r="M21" s="1"/>
      <c r="N21" s="1"/>
    </row>
    <row r="22" spans="2:14" ht="12.75">
      <c r="B22" s="1"/>
      <c r="C22" s="4" t="s">
        <v>46</v>
      </c>
      <c r="D22" s="2"/>
      <c r="E22" s="2"/>
      <c r="F22" s="2"/>
      <c r="G22" s="2"/>
      <c r="H22" s="2"/>
      <c r="I22" s="1"/>
      <c r="J22" s="1"/>
      <c r="K22" s="45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45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45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/>
      <c r="F25" s="2"/>
      <c r="G25" s="2"/>
      <c r="H25" s="2"/>
      <c r="I25" s="1"/>
      <c r="J25" s="1"/>
      <c r="K25" s="45"/>
      <c r="L25" s="1"/>
      <c r="M25" s="1"/>
      <c r="N25" s="1"/>
    </row>
    <row r="26" spans="2:14" ht="38.2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45"/>
      <c r="L26" s="1"/>
      <c r="M26" s="1"/>
      <c r="N26" s="1"/>
    </row>
    <row r="27" spans="2:14" ht="38.25">
      <c r="B27" s="1" t="s">
        <v>50</v>
      </c>
      <c r="C27" s="3" t="s">
        <v>26</v>
      </c>
      <c r="D27" s="1" t="s">
        <v>51</v>
      </c>
      <c r="E27" s="1"/>
      <c r="F27" s="1"/>
      <c r="G27" s="1"/>
      <c r="H27" s="1"/>
      <c r="I27" s="1"/>
      <c r="J27" s="30"/>
      <c r="K27" s="46"/>
      <c r="L27" s="1"/>
      <c r="M27" s="1"/>
      <c r="N27" s="1"/>
    </row>
    <row r="28" spans="2:14" ht="38.25">
      <c r="B28" s="1" t="s">
        <v>52</v>
      </c>
      <c r="C28" s="3" t="s">
        <v>27</v>
      </c>
      <c r="D28" s="1" t="s">
        <v>53</v>
      </c>
      <c r="E28" s="1"/>
      <c r="F28" s="1"/>
      <c r="G28" s="1"/>
      <c r="H28" s="1"/>
      <c r="I28" s="1"/>
      <c r="J28" s="30"/>
      <c r="K28" s="46"/>
      <c r="L28" s="1"/>
      <c r="M28" s="1"/>
      <c r="N28" s="1"/>
    </row>
    <row r="29" spans="2:14" ht="12.75">
      <c r="B29" s="1" t="s">
        <v>54</v>
      </c>
      <c r="C29" s="3"/>
      <c r="D29" s="1" t="s">
        <v>536</v>
      </c>
      <c r="E29" s="1"/>
      <c r="F29" s="1"/>
      <c r="G29" s="1"/>
      <c r="H29" s="1"/>
      <c r="I29" s="30"/>
      <c r="J29" s="30"/>
      <c r="K29" s="46"/>
      <c r="L29" s="1"/>
      <c r="M29" s="1"/>
      <c r="N29" s="1"/>
    </row>
    <row r="30" spans="2:14" ht="12.75">
      <c r="B30" s="1" t="s">
        <v>55</v>
      </c>
      <c r="C30" s="3"/>
      <c r="D30" s="1"/>
      <c r="E30" s="1"/>
      <c r="F30" s="1"/>
      <c r="G30" s="1"/>
      <c r="H30" s="1"/>
      <c r="I30" s="1"/>
      <c r="J30" s="1"/>
      <c r="K30" s="45"/>
      <c r="L30" s="1"/>
      <c r="M30" s="1"/>
      <c r="N30" s="1"/>
    </row>
    <row r="31" spans="2:14" ht="38.25">
      <c r="B31" s="1" t="s">
        <v>56</v>
      </c>
      <c r="C31" s="3"/>
      <c r="D31" s="3" t="s">
        <v>58</v>
      </c>
      <c r="E31" s="1"/>
      <c r="F31" s="1"/>
      <c r="G31" s="1"/>
      <c r="H31" s="1"/>
      <c r="I31" s="1"/>
      <c r="J31" s="1"/>
      <c r="K31" s="45"/>
      <c r="L31" s="1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45"/>
      <c r="L32" s="1"/>
      <c r="M32" s="1"/>
      <c r="N32" s="1"/>
    </row>
    <row r="33" spans="2:14" ht="12.75">
      <c r="B33" s="1"/>
      <c r="C33" s="4" t="s">
        <v>60</v>
      </c>
      <c r="D33" s="2"/>
      <c r="E33" s="2"/>
      <c r="F33" s="2"/>
      <c r="G33" s="2"/>
      <c r="H33" s="2"/>
      <c r="I33" s="2"/>
      <c r="J33" s="31"/>
      <c r="K33" s="47"/>
      <c r="L33" s="2"/>
      <c r="M33" s="2"/>
      <c r="N33" s="2"/>
    </row>
    <row r="34" spans="2:14" ht="51">
      <c r="B34" s="1" t="s">
        <v>61</v>
      </c>
      <c r="C34" s="4" t="s">
        <v>31</v>
      </c>
      <c r="D34" s="2"/>
      <c r="E34" s="2"/>
      <c r="F34" s="2"/>
      <c r="G34" s="2"/>
      <c r="H34" s="2"/>
      <c r="I34" s="1"/>
      <c r="J34" s="1"/>
      <c r="K34" s="45"/>
      <c r="L34" s="1"/>
      <c r="M34" s="1"/>
      <c r="N34" s="1"/>
    </row>
    <row r="35" spans="2:14" ht="25.5">
      <c r="B35" s="1" t="s">
        <v>62</v>
      </c>
      <c r="C35" s="3" t="s">
        <v>32</v>
      </c>
      <c r="D35" s="1" t="s">
        <v>51</v>
      </c>
      <c r="E35" s="1"/>
      <c r="F35" s="1"/>
      <c r="G35" s="1"/>
      <c r="H35" s="1"/>
      <c r="I35" s="1"/>
      <c r="J35" s="30"/>
      <c r="K35" s="46"/>
      <c r="L35" s="1"/>
      <c r="M35" s="1"/>
      <c r="N35" s="1"/>
    </row>
    <row r="36" spans="2:14" ht="12.75">
      <c r="B36" s="1" t="s">
        <v>63</v>
      </c>
      <c r="C36" s="3" t="s">
        <v>64</v>
      </c>
      <c r="D36" s="1" t="s">
        <v>53</v>
      </c>
      <c r="E36" s="1"/>
      <c r="F36" s="1"/>
      <c r="G36" s="1"/>
      <c r="H36" s="1"/>
      <c r="I36" s="1"/>
      <c r="J36" s="30"/>
      <c r="K36" s="46"/>
      <c r="L36" s="1"/>
      <c r="M36" s="1"/>
      <c r="N36" s="1"/>
    </row>
    <row r="37" spans="2:14" ht="12.75">
      <c r="B37" s="1" t="s">
        <v>65</v>
      </c>
      <c r="C37" s="3" t="s">
        <v>66</v>
      </c>
      <c r="D37" s="1" t="s">
        <v>536</v>
      </c>
      <c r="E37" s="1"/>
      <c r="F37" s="1"/>
      <c r="G37" s="1"/>
      <c r="H37" s="1"/>
      <c r="I37" s="1"/>
      <c r="J37" s="30"/>
      <c r="K37" s="46"/>
      <c r="L37" s="1"/>
      <c r="M37" s="1"/>
      <c r="N37" s="1"/>
    </row>
    <row r="38" spans="2:14" ht="25.5">
      <c r="B38" s="1" t="s">
        <v>67</v>
      </c>
      <c r="C38" s="3" t="s">
        <v>34</v>
      </c>
      <c r="D38" s="1" t="s">
        <v>68</v>
      </c>
      <c r="E38" s="1"/>
      <c r="F38" s="1"/>
      <c r="G38" s="1"/>
      <c r="H38" s="1"/>
      <c r="I38" s="1"/>
      <c r="J38" s="30"/>
      <c r="K38" s="46"/>
      <c r="L38" s="1"/>
      <c r="M38" s="1"/>
      <c r="N38" s="1"/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6"/>
      <c r="L39" s="1"/>
      <c r="M39" s="1"/>
      <c r="N39" s="1"/>
    </row>
    <row r="40" spans="2:14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46"/>
      <c r="L40" s="1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/>
      <c r="G41" s="1"/>
      <c r="H41" s="1"/>
      <c r="I41" s="1"/>
      <c r="J41" s="30"/>
      <c r="K41" s="46"/>
      <c r="L41" s="1"/>
      <c r="M41" s="1"/>
      <c r="N41" s="1"/>
    </row>
    <row r="42" spans="2:14" ht="12.75">
      <c r="B42" s="1"/>
      <c r="C42" s="4" t="s">
        <v>60</v>
      </c>
      <c r="D42" s="2"/>
      <c r="E42" s="2"/>
      <c r="F42" s="2"/>
      <c r="G42" s="2"/>
      <c r="H42" s="2"/>
      <c r="I42" s="2"/>
      <c r="J42" s="31"/>
      <c r="K42" s="47"/>
      <c r="L42" s="2"/>
      <c r="M42" s="2"/>
      <c r="N42" s="2"/>
    </row>
    <row r="43" spans="2:14" ht="25.5">
      <c r="B43" s="1" t="s">
        <v>74</v>
      </c>
      <c r="C43" s="4" t="s">
        <v>37</v>
      </c>
      <c r="D43" s="2"/>
      <c r="E43" s="2"/>
      <c r="F43" s="2"/>
      <c r="G43" s="2"/>
      <c r="H43" s="2"/>
      <c r="I43" s="2"/>
      <c r="J43" s="31"/>
      <c r="K43" s="47"/>
      <c r="L43" s="2"/>
      <c r="M43" s="2"/>
      <c r="N43" s="49"/>
    </row>
    <row r="44" spans="2:14" ht="38.25">
      <c r="B44" s="1" t="s">
        <v>75</v>
      </c>
      <c r="C44" s="4" t="s">
        <v>38</v>
      </c>
      <c r="D44" s="2"/>
      <c r="E44" s="2"/>
      <c r="F44" s="2"/>
      <c r="G44" s="2"/>
      <c r="H44" s="2"/>
      <c r="I44" s="2"/>
      <c r="J44" s="2"/>
      <c r="K44" s="45"/>
      <c r="L44" s="1"/>
      <c r="M44" s="1"/>
      <c r="N44" s="1"/>
    </row>
    <row r="45" spans="2:14" ht="63.75">
      <c r="B45" s="1" t="s">
        <v>76</v>
      </c>
      <c r="C45" s="3" t="s">
        <v>77</v>
      </c>
      <c r="D45" s="1" t="s">
        <v>51</v>
      </c>
      <c r="E45" s="1"/>
      <c r="F45" s="1"/>
      <c r="G45" s="1"/>
      <c r="H45" s="1"/>
      <c r="I45" s="1"/>
      <c r="J45" s="30"/>
      <c r="K45" s="46"/>
      <c r="L45" s="1"/>
      <c r="M45" s="1"/>
      <c r="N45" s="1"/>
    </row>
    <row r="46" spans="2:14" ht="63.75">
      <c r="B46" s="1" t="s">
        <v>78</v>
      </c>
      <c r="C46" s="3" t="s">
        <v>79</v>
      </c>
      <c r="D46" s="1" t="s">
        <v>53</v>
      </c>
      <c r="E46" s="1"/>
      <c r="F46" s="1"/>
      <c r="G46" s="1"/>
      <c r="H46" s="1"/>
      <c r="I46" s="1"/>
      <c r="J46" s="30"/>
      <c r="K46" s="46"/>
      <c r="L46" s="1"/>
      <c r="M46" s="1"/>
      <c r="N46" s="1"/>
    </row>
    <row r="47" spans="2:14" ht="102">
      <c r="B47" s="1" t="s">
        <v>80</v>
      </c>
      <c r="C47" s="29" t="s">
        <v>129</v>
      </c>
      <c r="D47" s="1" t="s">
        <v>536</v>
      </c>
      <c r="E47" s="1"/>
      <c r="F47" s="1"/>
      <c r="G47" s="1"/>
      <c r="H47" s="1"/>
      <c r="I47" s="1"/>
      <c r="J47" s="30"/>
      <c r="K47" s="46"/>
      <c r="L47" s="1"/>
      <c r="M47" s="1"/>
      <c r="N47" s="1"/>
    </row>
    <row r="48" spans="2:14" ht="12.75">
      <c r="B48" s="1"/>
      <c r="C48" s="3"/>
      <c r="D48" s="1"/>
      <c r="E48" s="1"/>
      <c r="F48" s="1"/>
      <c r="G48" s="1"/>
      <c r="H48" s="1"/>
      <c r="I48" s="1"/>
      <c r="J48" s="1"/>
      <c r="K48" s="46"/>
      <c r="L48" s="1"/>
      <c r="M48" s="1"/>
      <c r="N48" s="1"/>
    </row>
    <row r="49" spans="2:14" ht="12.75">
      <c r="B49" s="1"/>
      <c r="C49" s="3"/>
      <c r="D49" s="1" t="s">
        <v>71</v>
      </c>
      <c r="E49" s="1"/>
      <c r="F49" s="1"/>
      <c r="G49" s="1"/>
      <c r="H49" s="1"/>
      <c r="I49" s="1"/>
      <c r="J49" s="1"/>
      <c r="K49" s="46"/>
      <c r="L49" s="1"/>
      <c r="M49" s="1"/>
      <c r="N49" s="1"/>
    </row>
    <row r="50" spans="2:15" ht="12.75">
      <c r="B50" s="1"/>
      <c r="C50" s="4" t="s">
        <v>60</v>
      </c>
      <c r="D50" s="2"/>
      <c r="E50" s="2"/>
      <c r="F50" s="2"/>
      <c r="G50" s="2"/>
      <c r="H50" s="2"/>
      <c r="I50" s="2"/>
      <c r="J50" s="31"/>
      <c r="K50" s="47"/>
      <c r="L50" s="2"/>
      <c r="M50" s="2"/>
      <c r="N50" s="2"/>
      <c r="O50" s="5"/>
    </row>
    <row r="51" spans="2:14" ht="51">
      <c r="B51" s="1" t="s">
        <v>81</v>
      </c>
      <c r="C51" s="4" t="s">
        <v>39</v>
      </c>
      <c r="D51" s="2"/>
      <c r="E51" s="2"/>
      <c r="F51" s="2"/>
      <c r="G51" s="2"/>
      <c r="H51" s="2"/>
      <c r="I51" s="1"/>
      <c r="J51" s="1"/>
      <c r="K51" s="45"/>
      <c r="L51" s="1"/>
      <c r="M51" s="1"/>
      <c r="N51" s="1"/>
    </row>
    <row r="52" spans="2:14" ht="38.25">
      <c r="B52" s="1" t="s">
        <v>82</v>
      </c>
      <c r="C52" s="3" t="s">
        <v>83</v>
      </c>
      <c r="D52" s="1" t="s">
        <v>51</v>
      </c>
      <c r="E52" s="1"/>
      <c r="F52" s="1"/>
      <c r="G52" s="1"/>
      <c r="H52" s="1"/>
      <c r="I52" s="1"/>
      <c r="J52" s="30"/>
      <c r="K52" s="46"/>
      <c r="L52" s="1"/>
      <c r="M52" s="1"/>
      <c r="N52" s="1"/>
    </row>
    <row r="53" spans="2:14" ht="38.25">
      <c r="B53" s="1" t="s">
        <v>84</v>
      </c>
      <c r="C53" s="3" t="s">
        <v>85</v>
      </c>
      <c r="D53" s="1" t="s">
        <v>53</v>
      </c>
      <c r="E53" s="1"/>
      <c r="F53" s="1"/>
      <c r="G53" s="1"/>
      <c r="H53" s="1"/>
      <c r="I53" s="1"/>
      <c r="J53" s="30"/>
      <c r="K53" s="46"/>
      <c r="L53" s="1"/>
      <c r="M53" s="1"/>
      <c r="N53" s="1"/>
    </row>
    <row r="54" spans="2:14" ht="63.75">
      <c r="B54" s="1" t="s">
        <v>86</v>
      </c>
      <c r="C54" s="3" t="s">
        <v>87</v>
      </c>
      <c r="D54" s="1" t="s">
        <v>536</v>
      </c>
      <c r="E54" s="1"/>
      <c r="F54" s="1"/>
      <c r="G54" s="1"/>
      <c r="H54" s="1"/>
      <c r="I54" s="1"/>
      <c r="J54" s="30"/>
      <c r="K54" s="46"/>
      <c r="L54" s="1"/>
      <c r="M54" s="1"/>
      <c r="N54" s="1"/>
    </row>
    <row r="55" spans="2:14" ht="51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6"/>
      <c r="L55" s="1"/>
      <c r="M55" s="1"/>
      <c r="N55" s="1"/>
    </row>
    <row r="56" spans="2:14" ht="51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6"/>
      <c r="L56" s="1"/>
      <c r="M56" s="1"/>
      <c r="N56" s="1"/>
    </row>
    <row r="57" spans="2:14" ht="76.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6"/>
      <c r="L57" s="1"/>
      <c r="M57" s="1"/>
      <c r="N57" s="1"/>
    </row>
    <row r="58" spans="2:14" ht="25.5">
      <c r="B58" s="1" t="s">
        <v>93</v>
      </c>
      <c r="C58" s="3" t="s">
        <v>94</v>
      </c>
      <c r="D58" s="1"/>
      <c r="E58" s="1"/>
      <c r="F58" s="1"/>
      <c r="G58" s="1"/>
      <c r="H58" s="1"/>
      <c r="I58" s="1"/>
      <c r="J58" s="1"/>
      <c r="K58" s="46"/>
      <c r="L58" s="1"/>
      <c r="M58" s="1"/>
      <c r="N58" s="1"/>
    </row>
    <row r="59" spans="2:14" ht="12.75">
      <c r="B59" s="1"/>
      <c r="C59" s="4" t="s">
        <v>60</v>
      </c>
      <c r="D59" s="2"/>
      <c r="E59" s="2"/>
      <c r="F59" s="2"/>
      <c r="G59" s="2"/>
      <c r="H59" s="2"/>
      <c r="I59" s="2"/>
      <c r="J59" s="31"/>
      <c r="K59" s="47"/>
      <c r="L59" s="2"/>
      <c r="M59" s="2"/>
      <c r="N59" s="2"/>
    </row>
    <row r="60" spans="2:14" ht="51">
      <c r="B60" s="1" t="s">
        <v>95</v>
      </c>
      <c r="C60" s="4" t="s">
        <v>481</v>
      </c>
      <c r="D60" s="2"/>
      <c r="E60" s="2"/>
      <c r="F60" s="2"/>
      <c r="G60" s="2"/>
      <c r="H60" s="2"/>
      <c r="I60" s="1"/>
      <c r="J60" s="1"/>
      <c r="K60" s="45"/>
      <c r="L60" s="1"/>
      <c r="M60" s="1"/>
      <c r="N60" s="1"/>
    </row>
    <row r="61" spans="2:14" ht="76.5">
      <c r="B61" s="1" t="s">
        <v>96</v>
      </c>
      <c r="C61" s="3" t="s">
        <v>218</v>
      </c>
      <c r="D61" s="1" t="s">
        <v>51</v>
      </c>
      <c r="E61" s="1"/>
      <c r="F61" s="1"/>
      <c r="G61" s="1"/>
      <c r="H61" s="1"/>
      <c r="I61" s="1"/>
      <c r="J61" s="30"/>
      <c r="K61" s="46"/>
      <c r="L61" s="1"/>
      <c r="M61" s="1"/>
      <c r="N61" s="1"/>
    </row>
    <row r="62" spans="2:14" ht="12.75">
      <c r="B62" s="1" t="s">
        <v>98</v>
      </c>
      <c r="C62" s="3" t="s">
        <v>99</v>
      </c>
      <c r="D62" s="1" t="s">
        <v>53</v>
      </c>
      <c r="E62" s="1"/>
      <c r="F62" s="1"/>
      <c r="G62" s="1"/>
      <c r="H62" s="1"/>
      <c r="I62" s="1"/>
      <c r="J62" s="30"/>
      <c r="K62" s="46"/>
      <c r="L62" s="1"/>
      <c r="M62" s="1"/>
      <c r="N62" s="1"/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/>
      <c r="G63" s="1"/>
      <c r="H63" s="1"/>
      <c r="I63" s="1"/>
      <c r="J63" s="30"/>
      <c r="K63" s="46"/>
      <c r="L63" s="1"/>
      <c r="M63" s="1"/>
      <c r="N63" s="1"/>
    </row>
    <row r="64" spans="2:14" ht="25.5">
      <c r="B64" s="1" t="s">
        <v>102</v>
      </c>
      <c r="C64" s="3" t="s">
        <v>158</v>
      </c>
      <c r="D64" s="1"/>
      <c r="E64" s="1"/>
      <c r="F64" s="1"/>
      <c r="G64" s="1"/>
      <c r="H64" s="1"/>
      <c r="I64" s="1"/>
      <c r="J64" s="30"/>
      <c r="K64" s="46"/>
      <c r="L64" s="1"/>
      <c r="M64" s="1"/>
      <c r="N64" s="1"/>
    </row>
    <row r="65" spans="2:14" ht="38.25">
      <c r="B65" s="1" t="s">
        <v>104</v>
      </c>
      <c r="C65" s="3" t="s">
        <v>419</v>
      </c>
      <c r="D65" s="1" t="s">
        <v>71</v>
      </c>
      <c r="E65" s="1"/>
      <c r="F65" s="1"/>
      <c r="G65" s="1"/>
      <c r="H65" s="1"/>
      <c r="I65" s="1"/>
      <c r="J65" s="30"/>
      <c r="K65" s="46"/>
      <c r="L65" s="1"/>
      <c r="M65" s="1"/>
      <c r="N65" s="1"/>
    </row>
    <row r="66" spans="2:14" ht="63.75">
      <c r="B66" s="1" t="s">
        <v>105</v>
      </c>
      <c r="C66" s="3" t="s">
        <v>106</v>
      </c>
      <c r="D66" s="3" t="s">
        <v>107</v>
      </c>
      <c r="E66" s="1"/>
      <c r="F66" s="1"/>
      <c r="G66" s="1"/>
      <c r="H66" s="1"/>
      <c r="I66" s="1"/>
      <c r="J66" s="30"/>
      <c r="K66" s="46"/>
      <c r="L66" s="1"/>
      <c r="M66" s="1"/>
      <c r="N66" s="1"/>
    </row>
    <row r="67" spans="2:14" ht="12.75">
      <c r="B67" s="1"/>
      <c r="C67" s="4" t="s">
        <v>60</v>
      </c>
      <c r="D67" s="2"/>
      <c r="E67" s="2"/>
      <c r="F67" s="2"/>
      <c r="G67" s="2"/>
      <c r="H67" s="2"/>
      <c r="I67" s="2"/>
      <c r="J67" s="31"/>
      <c r="K67" s="47"/>
      <c r="L67" s="2"/>
      <c r="M67" s="2"/>
      <c r="N67" s="2"/>
    </row>
    <row r="68" spans="2:14" ht="12.75">
      <c r="B68" s="1" t="s">
        <v>109</v>
      </c>
      <c r="C68" s="4" t="s">
        <v>482</v>
      </c>
      <c r="D68" s="2"/>
      <c r="E68" s="2"/>
      <c r="F68" s="2"/>
      <c r="G68" s="2"/>
      <c r="H68" s="2"/>
      <c r="I68" s="2"/>
      <c r="J68" s="1"/>
      <c r="K68" s="45"/>
      <c r="L68" s="1"/>
      <c r="M68" s="1"/>
      <c r="N68" s="1"/>
    </row>
    <row r="69" spans="2:14" ht="76.5">
      <c r="B69" s="1" t="s">
        <v>110</v>
      </c>
      <c r="C69" s="3" t="s">
        <v>483</v>
      </c>
      <c r="D69" s="1" t="s">
        <v>111</v>
      </c>
      <c r="E69" s="1"/>
      <c r="F69" s="1"/>
      <c r="G69" s="1"/>
      <c r="H69" s="1"/>
      <c r="I69" s="1"/>
      <c r="J69" s="30"/>
      <c r="K69" s="46"/>
      <c r="L69" s="1"/>
      <c r="M69" s="1"/>
      <c r="N69" s="1"/>
    </row>
    <row r="70" spans="2:14" ht="12.75">
      <c r="B70" s="1"/>
      <c r="C70" s="3"/>
      <c r="D70" s="1" t="s">
        <v>53</v>
      </c>
      <c r="E70" s="1"/>
      <c r="F70" s="1"/>
      <c r="G70" s="1"/>
      <c r="H70" s="1"/>
      <c r="I70" s="1"/>
      <c r="J70" s="30"/>
      <c r="K70" s="46"/>
      <c r="L70" s="1"/>
      <c r="M70" s="1"/>
      <c r="N70" s="1"/>
    </row>
    <row r="71" spans="2:14" ht="12.75">
      <c r="B71" s="1"/>
      <c r="C71" s="3"/>
      <c r="D71" s="1" t="s">
        <v>536</v>
      </c>
      <c r="E71" s="1"/>
      <c r="F71" s="1"/>
      <c r="G71" s="1"/>
      <c r="H71" s="1"/>
      <c r="I71" s="1"/>
      <c r="J71" s="30"/>
      <c r="K71" s="46"/>
      <c r="L71" s="1"/>
      <c r="M71" s="1"/>
      <c r="N71" s="1"/>
    </row>
    <row r="72" spans="2:14" ht="25.5">
      <c r="B72" s="1"/>
      <c r="C72" s="3"/>
      <c r="D72" s="3" t="s">
        <v>112</v>
      </c>
      <c r="E72" s="1"/>
      <c r="F72" s="1"/>
      <c r="G72" s="1"/>
      <c r="H72" s="1"/>
      <c r="I72" s="1"/>
      <c r="J72" s="30"/>
      <c r="K72" s="46"/>
      <c r="L72" s="1"/>
      <c r="M72" s="1"/>
      <c r="N72" s="1"/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6"/>
      <c r="L73" s="1"/>
      <c r="M73" s="1"/>
      <c r="N73" s="1"/>
    </row>
    <row r="74" spans="2:14" ht="12.75">
      <c r="B74" s="1"/>
      <c r="C74" s="4" t="s">
        <v>60</v>
      </c>
      <c r="D74" s="2"/>
      <c r="E74" s="2"/>
      <c r="F74" s="2"/>
      <c r="G74" s="2"/>
      <c r="H74" s="2"/>
      <c r="I74" s="2"/>
      <c r="J74" s="31"/>
      <c r="K74" s="47"/>
      <c r="L74" s="2"/>
      <c r="M74" s="2"/>
      <c r="N74" s="2"/>
    </row>
    <row r="75" spans="2:14" ht="12.75">
      <c r="B75" s="1" t="s">
        <v>113</v>
      </c>
      <c r="C75" s="4" t="s">
        <v>484</v>
      </c>
      <c r="D75" s="2"/>
      <c r="E75" s="2"/>
      <c r="F75" s="2"/>
      <c r="G75" s="2"/>
      <c r="H75" s="2"/>
      <c r="I75" s="2"/>
      <c r="J75" s="2"/>
      <c r="K75" s="45"/>
      <c r="L75" s="1"/>
      <c r="M75" s="1"/>
      <c r="N75" s="1"/>
    </row>
    <row r="76" spans="2:14" ht="12.75">
      <c r="B76" s="1"/>
      <c r="C76" s="3" t="s">
        <v>114</v>
      </c>
      <c r="D76" s="1"/>
      <c r="E76" s="1"/>
      <c r="F76" s="1"/>
      <c r="G76" s="1"/>
      <c r="H76" s="1"/>
      <c r="I76" s="1"/>
      <c r="J76" s="1"/>
      <c r="K76" s="45"/>
      <c r="L76" s="1"/>
      <c r="M76" s="1"/>
      <c r="N76" s="1"/>
    </row>
    <row r="77" spans="2:14" ht="12.75">
      <c r="B77" s="1"/>
      <c r="C77" s="3" t="s">
        <v>115</v>
      </c>
      <c r="D77" s="1"/>
      <c r="E77" s="1"/>
      <c r="F77" s="1"/>
      <c r="G77" s="1"/>
      <c r="H77" s="1"/>
      <c r="I77" s="1"/>
      <c r="J77" s="1"/>
      <c r="K77" s="45"/>
      <c r="L77" s="1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45"/>
      <c r="L78" s="1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45"/>
      <c r="L79" s="1"/>
      <c r="M79" s="1"/>
      <c r="N79" s="1"/>
    </row>
    <row r="80" spans="2:14" ht="12.75">
      <c r="B80" s="2" t="s">
        <v>117</v>
      </c>
      <c r="C80" s="4"/>
      <c r="D80" s="2"/>
      <c r="E80" s="2"/>
      <c r="F80" s="2"/>
      <c r="G80" s="2"/>
      <c r="H80" s="2"/>
      <c r="I80" s="2"/>
      <c r="J80" s="31"/>
      <c r="K80" s="47"/>
      <c r="L80" s="2"/>
      <c r="M80" s="2"/>
      <c r="N80" s="2"/>
    </row>
    <row r="81" spans="2:14" ht="12.75">
      <c r="B81" s="1"/>
      <c r="C81" s="3" t="s">
        <v>118</v>
      </c>
      <c r="D81" s="1"/>
      <c r="E81" s="1"/>
      <c r="F81" s="1"/>
      <c r="G81" s="1"/>
      <c r="H81" s="1"/>
      <c r="I81" s="1"/>
      <c r="J81" s="30"/>
      <c r="K81" s="46"/>
      <c r="L81" s="1"/>
      <c r="M81" s="1"/>
      <c r="N81" s="1"/>
    </row>
    <row r="82" spans="2:14" ht="25.5">
      <c r="B82" s="1"/>
      <c r="C82" s="3" t="s">
        <v>119</v>
      </c>
      <c r="D82" s="1"/>
      <c r="E82" s="1"/>
      <c r="F82" s="1"/>
      <c r="G82" s="1"/>
      <c r="H82" s="1"/>
      <c r="I82" s="1"/>
      <c r="J82" s="30"/>
      <c r="K82" s="46"/>
      <c r="L82" s="1"/>
      <c r="M82" s="1"/>
      <c r="N82" s="1"/>
    </row>
    <row r="83" spans="2:14" ht="12.75">
      <c r="B83" s="2" t="s">
        <v>590</v>
      </c>
      <c r="C83" s="4"/>
      <c r="D83" s="2"/>
      <c r="E83" s="2"/>
      <c r="F83" s="2"/>
      <c r="G83" s="2"/>
      <c r="H83" s="2"/>
      <c r="I83" s="2"/>
      <c r="J83" s="31"/>
      <c r="K83" s="47"/>
      <c r="L83" s="2"/>
      <c r="M83" s="2"/>
      <c r="N83" s="2"/>
    </row>
    <row r="84" spans="2:14" ht="12.75">
      <c r="B84" s="1" t="s">
        <v>120</v>
      </c>
      <c r="C84" s="3"/>
      <c r="D84" s="1"/>
      <c r="E84" s="1"/>
      <c r="F84" s="1"/>
      <c r="G84" s="1"/>
      <c r="H84" s="1"/>
      <c r="I84" s="1"/>
      <c r="J84" s="30"/>
      <c r="K84" s="46"/>
      <c r="L84" s="1"/>
      <c r="M84" s="1"/>
      <c r="N84" s="1"/>
    </row>
    <row r="85" spans="2:15" ht="25.5">
      <c r="B85" s="1"/>
      <c r="C85" s="4" t="s">
        <v>121</v>
      </c>
      <c r="D85" s="2"/>
      <c r="E85" s="2"/>
      <c r="F85" s="2"/>
      <c r="G85" s="2"/>
      <c r="H85" s="2"/>
      <c r="I85" s="2"/>
      <c r="J85" s="31"/>
      <c r="K85" s="47"/>
      <c r="L85" s="2"/>
      <c r="M85" s="2"/>
      <c r="N85" s="2"/>
      <c r="O85" s="5"/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/>
      <c r="M86" s="2"/>
      <c r="N86" s="1"/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/>
      <c r="K87" s="45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45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4:N130"/>
  <sheetViews>
    <sheetView workbookViewId="0" topLeftCell="A3">
      <pane xSplit="1" ySplit="16" topLeftCell="B76" activePane="bottomRight" state="frozen"/>
      <selection pane="topLeft" activeCell="A3" sqref="A3"/>
      <selection pane="topRight" activeCell="B3" sqref="B3"/>
      <selection pane="bottomLeft" activeCell="A19" sqref="A19"/>
      <selection pane="bottomRight" activeCell="E93" sqref="E93"/>
    </sheetView>
  </sheetViews>
  <sheetFormatPr defaultColWidth="9.140625" defaultRowHeight="12.75"/>
  <cols>
    <col min="2" max="2" width="10.421875" style="0" customWidth="1"/>
    <col min="3" max="3" width="33.7109375" style="0" customWidth="1"/>
    <col min="4" max="4" width="16.28125" style="0" customWidth="1"/>
    <col min="5" max="5" width="12.28125" style="0" customWidth="1"/>
    <col min="6" max="6" width="17.28125" style="0" customWidth="1"/>
    <col min="7" max="7" width="13.140625" style="0" customWidth="1"/>
    <col min="8" max="8" width="10.57421875" style="0" customWidth="1"/>
    <col min="9" max="9" width="11.421875" style="0" customWidth="1"/>
    <col min="10" max="10" width="12.28125" style="0" customWidth="1"/>
    <col min="11" max="11" width="12.8515625" style="0" customWidth="1"/>
    <col min="12" max="12" width="13.8515625" style="0" customWidth="1"/>
    <col min="13" max="13" width="15.00390625" style="0" customWidth="1"/>
    <col min="14" max="14" width="12.140625" style="0" customWidth="1"/>
    <col min="15" max="15" width="12.57421875" style="0" customWidth="1"/>
    <col min="16" max="16" width="12.00390625" style="0" customWidth="1"/>
    <col min="17" max="17" width="10.57421875" style="0" customWidth="1"/>
    <col min="18" max="18" width="14.28125" style="0" customWidth="1"/>
  </cols>
  <sheetData>
    <row r="4" spans="2:3" ht="12.75">
      <c r="B4" s="5" t="s">
        <v>487</v>
      </c>
      <c r="C4" s="5" t="s">
        <v>541</v>
      </c>
    </row>
    <row r="5" spans="2:3" ht="12.75">
      <c r="B5" t="s">
        <v>488</v>
      </c>
      <c r="C5">
        <v>3157.1</v>
      </c>
    </row>
    <row r="6" spans="2:3" ht="12.75">
      <c r="B6" t="s">
        <v>489</v>
      </c>
      <c r="C6">
        <v>1471</v>
      </c>
    </row>
    <row r="7" spans="2:3" ht="12.75">
      <c r="B7" t="s">
        <v>490</v>
      </c>
      <c r="C7">
        <v>575</v>
      </c>
    </row>
    <row r="8" spans="2:3" ht="12.75">
      <c r="B8" t="s">
        <v>491</v>
      </c>
      <c r="C8">
        <v>437.1</v>
      </c>
    </row>
    <row r="9" spans="2:3" ht="12.75">
      <c r="B9" t="s">
        <v>492</v>
      </c>
      <c r="C9">
        <v>3</v>
      </c>
    </row>
    <row r="10" spans="2:3" ht="12.75">
      <c r="B10" t="s">
        <v>493</v>
      </c>
      <c r="C10">
        <v>24</v>
      </c>
    </row>
    <row r="11" spans="2:3" ht="12.75">
      <c r="B11" t="s">
        <v>494</v>
      </c>
      <c r="C11">
        <v>5</v>
      </c>
    </row>
    <row r="14" spans="2:14" ht="12.75" customHeight="1">
      <c r="B14" s="74" t="s">
        <v>235</v>
      </c>
      <c r="C14" s="74" t="s">
        <v>236</v>
      </c>
      <c r="D14" s="74" t="s">
        <v>237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54" t="s">
        <v>131</v>
      </c>
      <c r="L14" s="55"/>
      <c r="M14" s="55"/>
      <c r="N14" s="56"/>
    </row>
    <row r="15" spans="2:14" ht="12.75" customHeight="1">
      <c r="B15" s="74"/>
      <c r="C15" s="74"/>
      <c r="D15" s="74"/>
      <c r="E15" s="74"/>
      <c r="F15" s="74"/>
      <c r="G15" s="4"/>
      <c r="H15" s="4"/>
      <c r="I15" s="41"/>
      <c r="J15" s="41"/>
      <c r="K15" s="57"/>
      <c r="L15" s="83"/>
      <c r="M15" s="83"/>
      <c r="N15" s="84"/>
    </row>
    <row r="16" spans="2:14" ht="12.75" customHeight="1">
      <c r="B16" s="74"/>
      <c r="C16" s="74"/>
      <c r="D16" s="74"/>
      <c r="E16" s="74"/>
      <c r="F16" s="74"/>
      <c r="G16" s="74" t="s">
        <v>122</v>
      </c>
      <c r="H16" s="74" t="s">
        <v>45</v>
      </c>
      <c r="I16" s="74" t="s">
        <v>124</v>
      </c>
      <c r="J16" s="74" t="s">
        <v>125</v>
      </c>
      <c r="K16" s="74" t="s">
        <v>132</v>
      </c>
      <c r="L16" s="74" t="s">
        <v>234</v>
      </c>
      <c r="M16" s="74" t="s">
        <v>222</v>
      </c>
      <c r="N16" s="74" t="s">
        <v>305</v>
      </c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2:13" ht="12.75">
      <c r="B19" s="1"/>
      <c r="C19" s="1"/>
      <c r="D19" s="3"/>
      <c r="E19" s="1"/>
      <c r="F19" s="1"/>
      <c r="G19" s="1"/>
      <c r="H19" s="1"/>
      <c r="I19" s="1"/>
      <c r="J19" s="1"/>
      <c r="K19" s="1"/>
      <c r="L19" s="32"/>
      <c r="M19" s="32"/>
    </row>
    <row r="20" spans="2:14" ht="12.75">
      <c r="B20" s="1"/>
      <c r="C20" s="1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4"/>
      <c r="E22" s="2"/>
      <c r="F22" s="2"/>
      <c r="G22" s="2"/>
      <c r="H22" s="2"/>
      <c r="I22" s="1"/>
      <c r="J22" s="1"/>
      <c r="K22" s="1"/>
      <c r="L22" s="1"/>
      <c r="M22" s="1"/>
      <c r="N22" s="1"/>
    </row>
    <row r="23" spans="2:14" ht="12.75">
      <c r="B23" s="1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4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4"/>
      <c r="E25" s="2"/>
      <c r="F25" s="2"/>
      <c r="G25" s="2"/>
      <c r="H25" s="2"/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3" t="s">
        <v>51</v>
      </c>
      <c r="E27" s="1"/>
      <c r="F27" s="1"/>
      <c r="G27" s="1"/>
      <c r="H27" s="1"/>
      <c r="I27" s="1"/>
      <c r="J27" s="30"/>
      <c r="K27" s="42"/>
      <c r="L27" s="7"/>
      <c r="M27" s="1"/>
      <c r="N27" s="1">
        <f>J27*C5*12</f>
        <v>0</v>
      </c>
    </row>
    <row r="28" spans="2:14" ht="25.5">
      <c r="B28" s="1" t="s">
        <v>52</v>
      </c>
      <c r="C28" s="3" t="s">
        <v>27</v>
      </c>
      <c r="D28" s="3" t="s">
        <v>53</v>
      </c>
      <c r="E28" s="1"/>
      <c r="F28" s="1"/>
      <c r="G28" s="1"/>
      <c r="H28" s="1"/>
      <c r="I28" s="1"/>
      <c r="J28" s="30"/>
      <c r="K28" s="42"/>
      <c r="L28" s="7"/>
      <c r="M28" s="1"/>
      <c r="N28" s="1">
        <f>J28*C5*12</f>
        <v>0</v>
      </c>
    </row>
    <row r="29" spans="2:14" ht="12.75">
      <c r="B29" s="1" t="s">
        <v>54</v>
      </c>
      <c r="C29" s="3"/>
      <c r="D29" s="3" t="s">
        <v>536</v>
      </c>
      <c r="E29" s="1"/>
      <c r="F29" s="1"/>
      <c r="G29" s="1"/>
      <c r="H29" s="1"/>
      <c r="I29" s="30"/>
      <c r="J29" s="30"/>
      <c r="K29" s="42"/>
      <c r="L29" s="7"/>
      <c r="M29" s="1"/>
      <c r="N29" s="1">
        <f>J29*C5*12</f>
        <v>0</v>
      </c>
    </row>
    <row r="30" spans="2:14" ht="12.75">
      <c r="B30" s="1" t="s">
        <v>55</v>
      </c>
      <c r="C30" s="3"/>
      <c r="D30" s="3"/>
      <c r="E30" s="1"/>
      <c r="F30" s="1"/>
      <c r="G30" s="1"/>
      <c r="H30" s="1"/>
      <c r="I30" s="1"/>
      <c r="J30" s="1"/>
      <c r="K30" s="1"/>
      <c r="L30" s="7"/>
      <c r="M30" s="1"/>
      <c r="N30" s="1"/>
    </row>
    <row r="31" spans="2:14" ht="25.5">
      <c r="B31" s="1" t="s">
        <v>56</v>
      </c>
      <c r="C31" s="3"/>
      <c r="D31" s="3" t="s">
        <v>58</v>
      </c>
      <c r="E31" s="1"/>
      <c r="F31" s="1"/>
      <c r="G31" s="1"/>
      <c r="H31" s="1"/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3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4"/>
      <c r="E33" s="2"/>
      <c r="F33" s="2"/>
      <c r="G33" s="2"/>
      <c r="H33" s="2"/>
      <c r="I33" s="2"/>
      <c r="J33" s="31"/>
      <c r="K33" s="43"/>
      <c r="L33" s="6"/>
      <c r="M33" s="2"/>
      <c r="N33" s="2">
        <f>SUM(N27:N32)</f>
        <v>0</v>
      </c>
    </row>
    <row r="34" spans="2:14" ht="51">
      <c r="B34" s="1" t="s">
        <v>61</v>
      </c>
      <c r="C34" s="4" t="s">
        <v>31</v>
      </c>
      <c r="D34" s="4"/>
      <c r="E34" s="2"/>
      <c r="F34" s="2"/>
      <c r="G34" s="2"/>
      <c r="H34" s="2"/>
      <c r="I34" s="1"/>
      <c r="J34" s="1"/>
      <c r="K34" s="1"/>
      <c r="L34" s="7"/>
      <c r="M34" s="1"/>
      <c r="N34" s="1"/>
    </row>
    <row r="35" spans="2:14" ht="25.5">
      <c r="B35" s="1" t="s">
        <v>62</v>
      </c>
      <c r="C35" s="3" t="s">
        <v>32</v>
      </c>
      <c r="D35" s="3" t="s">
        <v>51</v>
      </c>
      <c r="E35" s="1"/>
      <c r="F35" s="1"/>
      <c r="G35" s="1"/>
      <c r="H35" s="1"/>
      <c r="I35" s="1"/>
      <c r="J35" s="30"/>
      <c r="K35" s="42"/>
      <c r="L35" s="7"/>
      <c r="M35" s="1"/>
      <c r="N35" s="1">
        <f>J35*C5*12</f>
        <v>0</v>
      </c>
    </row>
    <row r="36" spans="2:14" ht="12.75">
      <c r="B36" s="1" t="s">
        <v>63</v>
      </c>
      <c r="C36" s="3" t="s">
        <v>64</v>
      </c>
      <c r="D36" s="3" t="s">
        <v>53</v>
      </c>
      <c r="E36" s="1"/>
      <c r="F36" s="1"/>
      <c r="G36" s="1"/>
      <c r="H36" s="1"/>
      <c r="I36" s="1"/>
      <c r="J36" s="30"/>
      <c r="K36" s="42"/>
      <c r="L36" s="7"/>
      <c r="M36" s="1"/>
      <c r="N36" s="1">
        <f>J36*C5*12</f>
        <v>0</v>
      </c>
    </row>
    <row r="37" spans="2:14" ht="12.75">
      <c r="B37" s="1" t="s">
        <v>65</v>
      </c>
      <c r="C37" s="3" t="s">
        <v>66</v>
      </c>
      <c r="D37" s="3" t="s">
        <v>536</v>
      </c>
      <c r="E37" s="1"/>
      <c r="F37" s="1"/>
      <c r="G37" s="1"/>
      <c r="H37" s="1"/>
      <c r="I37" s="1"/>
      <c r="J37" s="30"/>
      <c r="K37" s="42"/>
      <c r="L37" s="7"/>
      <c r="M37" s="1"/>
      <c r="N37" s="1">
        <f>J37*C5*12</f>
        <v>0</v>
      </c>
    </row>
    <row r="38" spans="2:14" ht="25.5">
      <c r="B38" s="1" t="s">
        <v>67</v>
      </c>
      <c r="C38" s="3" t="s">
        <v>34</v>
      </c>
      <c r="D38" s="3" t="s">
        <v>68</v>
      </c>
      <c r="E38" s="1"/>
      <c r="F38" s="1"/>
      <c r="G38" s="1"/>
      <c r="H38" s="1"/>
      <c r="I38" s="1"/>
      <c r="J38" s="30"/>
      <c r="K38" s="42"/>
      <c r="L38" s="7"/>
      <c r="M38" s="1"/>
      <c r="N38" s="1">
        <f>J38*C5*12</f>
        <v>0</v>
      </c>
    </row>
    <row r="39" spans="2:14" ht="25.5">
      <c r="B39" s="1" t="s">
        <v>69</v>
      </c>
      <c r="C39" s="3" t="s">
        <v>35</v>
      </c>
      <c r="D39" s="3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38.25">
      <c r="B40" s="1" t="s">
        <v>70</v>
      </c>
      <c r="C40" s="4" t="s">
        <v>150</v>
      </c>
      <c r="D40" s="3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3"/>
      <c r="E41" s="1"/>
      <c r="F41" s="1"/>
      <c r="G41" s="1"/>
      <c r="H41" s="1"/>
      <c r="I41" s="1"/>
      <c r="J41" s="30"/>
      <c r="K41" s="42"/>
      <c r="L41" s="7"/>
      <c r="M41" s="1"/>
      <c r="N41" s="1">
        <f>J41*C5*12</f>
        <v>0</v>
      </c>
    </row>
    <row r="42" spans="2:14" ht="12.75">
      <c r="B42" s="1"/>
      <c r="C42" s="4" t="s">
        <v>60</v>
      </c>
      <c r="D42" s="4"/>
      <c r="E42" s="2"/>
      <c r="F42" s="2"/>
      <c r="G42" s="2"/>
      <c r="H42" s="2"/>
      <c r="I42" s="2"/>
      <c r="J42" s="31"/>
      <c r="K42" s="43"/>
      <c r="L42" s="6"/>
      <c r="M42" s="2"/>
      <c r="N42" s="2">
        <f>SUM(N35:N41)</f>
        <v>0</v>
      </c>
    </row>
    <row r="43" spans="2:14" ht="25.5">
      <c r="B43" s="1" t="s">
        <v>74</v>
      </c>
      <c r="C43" s="4" t="s">
        <v>37</v>
      </c>
      <c r="D43" s="4"/>
      <c r="E43" s="2"/>
      <c r="F43" s="2"/>
      <c r="G43" s="2"/>
      <c r="H43" s="2"/>
      <c r="I43" s="2"/>
      <c r="J43" s="31"/>
      <c r="K43" s="43"/>
      <c r="L43" s="6"/>
      <c r="M43" s="2"/>
      <c r="N43" s="50">
        <f>J43*C5*12</f>
        <v>0</v>
      </c>
    </row>
    <row r="44" spans="2:14" ht="38.25">
      <c r="B44" s="1" t="s">
        <v>75</v>
      </c>
      <c r="C44" s="4" t="s">
        <v>38</v>
      </c>
      <c r="D44" s="4"/>
      <c r="E44" s="2"/>
      <c r="F44" s="2"/>
      <c r="G44" s="2"/>
      <c r="H44" s="2"/>
      <c r="I44" s="2"/>
      <c r="J44" s="2"/>
      <c r="K44" s="1"/>
      <c r="L44" s="7"/>
      <c r="M44" s="1"/>
      <c r="N44" s="1"/>
    </row>
    <row r="45" spans="2:14" ht="63.75">
      <c r="B45" s="1" t="s">
        <v>76</v>
      </c>
      <c r="C45" s="3" t="s">
        <v>77</v>
      </c>
      <c r="D45" s="3" t="s">
        <v>51</v>
      </c>
      <c r="E45" s="1"/>
      <c r="F45" s="1"/>
      <c r="G45" s="1"/>
      <c r="H45" s="1"/>
      <c r="I45" s="1"/>
      <c r="J45" s="30"/>
      <c r="K45" s="42"/>
      <c r="L45" s="7"/>
      <c r="M45" s="1"/>
      <c r="N45" s="1">
        <f>J45*C5*12</f>
        <v>0</v>
      </c>
    </row>
    <row r="46" spans="2:14" ht="76.5">
      <c r="B46" s="1" t="s">
        <v>78</v>
      </c>
      <c r="C46" s="3" t="s">
        <v>389</v>
      </c>
      <c r="D46" s="3" t="s">
        <v>53</v>
      </c>
      <c r="E46" s="1"/>
      <c r="F46" s="1"/>
      <c r="G46" s="1"/>
      <c r="H46" s="1"/>
      <c r="I46" s="1"/>
      <c r="J46" s="30"/>
      <c r="K46" s="42"/>
      <c r="L46" s="7"/>
      <c r="M46" s="1"/>
      <c r="N46" s="1">
        <f>J46*C5*12</f>
        <v>0</v>
      </c>
    </row>
    <row r="47" spans="2:14" ht="89.25">
      <c r="B47" s="1" t="s">
        <v>80</v>
      </c>
      <c r="C47" s="29" t="s">
        <v>129</v>
      </c>
      <c r="D47" s="3" t="s">
        <v>536</v>
      </c>
      <c r="E47" s="1"/>
      <c r="F47" s="1"/>
      <c r="G47" s="1"/>
      <c r="H47" s="1"/>
      <c r="I47" s="1"/>
      <c r="J47" s="30"/>
      <c r="K47" s="42"/>
      <c r="L47" s="7"/>
      <c r="M47" s="1"/>
      <c r="N47" s="1">
        <f>J47*C5*12</f>
        <v>0</v>
      </c>
    </row>
    <row r="48" spans="2:14" ht="25.5">
      <c r="B48" s="1"/>
      <c r="C48" s="4" t="s">
        <v>275</v>
      </c>
      <c r="D48" s="3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25.5">
      <c r="B49" s="1"/>
      <c r="C49" s="4" t="s">
        <v>245</v>
      </c>
      <c r="D49" s="3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4"/>
      <c r="E50" s="2"/>
      <c r="F50" s="2"/>
      <c r="G50" s="2"/>
      <c r="H50" s="2"/>
      <c r="I50" s="2"/>
      <c r="J50" s="31"/>
      <c r="K50" s="43"/>
      <c r="L50" s="6"/>
      <c r="M50" s="2"/>
      <c r="N50" s="2">
        <f>SUM(N45:N49)</f>
        <v>0</v>
      </c>
    </row>
    <row r="51" spans="2:14" ht="38.25">
      <c r="B51" s="1" t="s">
        <v>81</v>
      </c>
      <c r="C51" s="4" t="s">
        <v>39</v>
      </c>
      <c r="D51" s="4"/>
      <c r="E51" s="2"/>
      <c r="F51" s="2"/>
      <c r="G51" s="2"/>
      <c r="H51" s="2"/>
      <c r="I51" s="1"/>
      <c r="J51" s="1"/>
      <c r="K51" s="1"/>
      <c r="L51" s="7"/>
      <c r="M51" s="1"/>
      <c r="N51" s="1"/>
    </row>
    <row r="52" spans="2:14" ht="51">
      <c r="B52" s="1" t="s">
        <v>82</v>
      </c>
      <c r="C52" s="3" t="s">
        <v>422</v>
      </c>
      <c r="D52" s="3" t="s">
        <v>51</v>
      </c>
      <c r="E52" s="1"/>
      <c r="F52" s="1"/>
      <c r="G52" s="1"/>
      <c r="H52" s="1"/>
      <c r="I52" s="1"/>
      <c r="J52" s="30"/>
      <c r="K52" s="42"/>
      <c r="L52" s="7"/>
      <c r="M52" s="1"/>
      <c r="N52" s="1">
        <f>J52*C5*12</f>
        <v>0</v>
      </c>
    </row>
    <row r="53" spans="2:14" ht="38.25">
      <c r="B53" s="1" t="s">
        <v>84</v>
      </c>
      <c r="C53" s="3" t="s">
        <v>85</v>
      </c>
      <c r="D53" s="3" t="s">
        <v>53</v>
      </c>
      <c r="E53" s="1"/>
      <c r="F53" s="1"/>
      <c r="G53" s="1"/>
      <c r="H53" s="1"/>
      <c r="I53" s="1"/>
      <c r="J53" s="30"/>
      <c r="K53" s="42"/>
      <c r="L53" s="7"/>
      <c r="M53" s="1"/>
      <c r="N53" s="1">
        <f>J53*C5*12</f>
        <v>0</v>
      </c>
    </row>
    <row r="54" spans="2:14" ht="51">
      <c r="B54" s="1" t="s">
        <v>86</v>
      </c>
      <c r="C54" s="3" t="s">
        <v>87</v>
      </c>
      <c r="D54" s="3" t="s">
        <v>536</v>
      </c>
      <c r="E54" s="1"/>
      <c r="F54" s="1"/>
      <c r="G54" s="1"/>
      <c r="H54" s="1"/>
      <c r="I54" s="1"/>
      <c r="J54" s="30"/>
      <c r="K54" s="42"/>
      <c r="L54" s="7"/>
      <c r="M54" s="1"/>
      <c r="N54" s="1">
        <f>J54*C5*12</f>
        <v>0</v>
      </c>
    </row>
    <row r="55" spans="2:14" ht="38.25">
      <c r="B55" s="1" t="s">
        <v>88</v>
      </c>
      <c r="C55" s="3" t="s">
        <v>130</v>
      </c>
      <c r="D55" s="3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38.25">
      <c r="B56" s="1" t="s">
        <v>89</v>
      </c>
      <c r="C56" s="3" t="s">
        <v>90</v>
      </c>
      <c r="D56" s="3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63.75">
      <c r="B57" s="1" t="s">
        <v>91</v>
      </c>
      <c r="C57" s="3" t="s">
        <v>92</v>
      </c>
      <c r="D57" s="3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25.5">
      <c r="B58" s="1" t="s">
        <v>93</v>
      </c>
      <c r="C58" s="3" t="s">
        <v>94</v>
      </c>
      <c r="D58" s="3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4"/>
      <c r="E59" s="2"/>
      <c r="F59" s="2"/>
      <c r="G59" s="2"/>
      <c r="H59" s="2"/>
      <c r="I59" s="2"/>
      <c r="J59" s="31"/>
      <c r="K59" s="43"/>
      <c r="L59" s="6"/>
      <c r="M59" s="2"/>
      <c r="N59" s="2">
        <f>SUM(N52:N58)</f>
        <v>0</v>
      </c>
    </row>
    <row r="60" spans="2:14" ht="38.25">
      <c r="B60" s="1" t="s">
        <v>95</v>
      </c>
      <c r="C60" s="4" t="s">
        <v>481</v>
      </c>
      <c r="D60" s="4"/>
      <c r="E60" s="2"/>
      <c r="F60" s="2"/>
      <c r="G60" s="2"/>
      <c r="H60" s="2"/>
      <c r="I60" s="1"/>
      <c r="J60" s="1"/>
      <c r="K60" s="1"/>
      <c r="L60" s="7"/>
      <c r="M60" s="1"/>
      <c r="N60" s="1"/>
    </row>
    <row r="61" spans="2:14" ht="63.75">
      <c r="B61" s="1" t="s">
        <v>96</v>
      </c>
      <c r="C61" s="3" t="s">
        <v>358</v>
      </c>
      <c r="D61" s="3" t="s">
        <v>51</v>
      </c>
      <c r="E61" s="1"/>
      <c r="F61" s="1"/>
      <c r="G61" s="1"/>
      <c r="H61" s="1"/>
      <c r="I61" s="1"/>
      <c r="J61" s="30"/>
      <c r="K61" s="42"/>
      <c r="L61" s="7"/>
      <c r="M61" s="1"/>
      <c r="N61" s="1">
        <f>J61*C5*12</f>
        <v>0</v>
      </c>
    </row>
    <row r="62" spans="2:14" ht="25.5">
      <c r="B62" s="1" t="s">
        <v>98</v>
      </c>
      <c r="C62" s="3" t="s">
        <v>335</v>
      </c>
      <c r="D62" s="3" t="s">
        <v>53</v>
      </c>
      <c r="E62" s="1"/>
      <c r="F62" s="1"/>
      <c r="G62" s="1"/>
      <c r="H62" s="1"/>
      <c r="I62" s="1"/>
      <c r="J62" s="30"/>
      <c r="K62" s="42"/>
      <c r="L62" s="7"/>
      <c r="M62" s="1"/>
      <c r="N62" s="1">
        <f>J62*C5*12</f>
        <v>0</v>
      </c>
    </row>
    <row r="63" spans="2:14" ht="12.75">
      <c r="B63" s="1" t="s">
        <v>100</v>
      </c>
      <c r="C63" s="3" t="s">
        <v>101</v>
      </c>
      <c r="D63" s="3" t="s">
        <v>536</v>
      </c>
      <c r="E63" s="1"/>
      <c r="F63" s="1"/>
      <c r="G63" s="1"/>
      <c r="H63" s="1"/>
      <c r="I63" s="1"/>
      <c r="J63" s="30"/>
      <c r="K63" s="42"/>
      <c r="L63" s="7"/>
      <c r="M63" s="1"/>
      <c r="N63" s="1">
        <f>J63*C5*12</f>
        <v>0</v>
      </c>
    </row>
    <row r="64" spans="2:14" ht="51">
      <c r="B64" s="1" t="s">
        <v>102</v>
      </c>
      <c r="C64" s="4" t="s">
        <v>336</v>
      </c>
      <c r="D64" s="3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51">
      <c r="B65" s="1" t="s">
        <v>104</v>
      </c>
      <c r="C65" s="4" t="s">
        <v>393</v>
      </c>
      <c r="D65" s="3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51">
      <c r="B66" s="1" t="s">
        <v>105</v>
      </c>
      <c r="C66" s="3" t="s">
        <v>106</v>
      </c>
      <c r="D66" s="3" t="s">
        <v>107</v>
      </c>
      <c r="E66" s="1"/>
      <c r="F66" s="1"/>
      <c r="G66" s="1"/>
      <c r="H66" s="1"/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4"/>
      <c r="E67" s="2"/>
      <c r="F67" s="2"/>
      <c r="G67" s="2"/>
      <c r="H67" s="2"/>
      <c r="I67" s="2"/>
      <c r="J67" s="31"/>
      <c r="K67" s="43"/>
      <c r="L67" s="6"/>
      <c r="M67" s="2"/>
      <c r="N67" s="2">
        <f>SUM(N61:N66)</f>
        <v>0</v>
      </c>
    </row>
    <row r="68" spans="2:14" ht="12.75">
      <c r="B68" s="1" t="s">
        <v>109</v>
      </c>
      <c r="C68" s="4" t="s">
        <v>482</v>
      </c>
      <c r="D68" s="4"/>
      <c r="E68" s="2"/>
      <c r="F68" s="2"/>
      <c r="G68" s="2"/>
      <c r="H68" s="2"/>
      <c r="I68" s="2"/>
      <c r="J68" s="1"/>
      <c r="K68" s="1"/>
      <c r="L68" s="7"/>
      <c r="M68" s="1"/>
      <c r="N68" s="1"/>
    </row>
    <row r="69" spans="2:14" ht="63.75">
      <c r="B69" s="1" t="s">
        <v>110</v>
      </c>
      <c r="C69" s="3" t="s">
        <v>483</v>
      </c>
      <c r="D69" s="3" t="s">
        <v>111</v>
      </c>
      <c r="E69" s="1"/>
      <c r="F69" s="1"/>
      <c r="G69" s="1"/>
      <c r="H69" s="1"/>
      <c r="I69" s="1"/>
      <c r="J69" s="30"/>
      <c r="K69" s="42"/>
      <c r="L69" s="7"/>
      <c r="M69" s="1"/>
      <c r="N69" s="1">
        <f>J69*C5*12</f>
        <v>0</v>
      </c>
    </row>
    <row r="70" spans="2:14" ht="12.75">
      <c r="B70" s="1"/>
      <c r="C70" s="3"/>
      <c r="D70" s="3" t="s">
        <v>53</v>
      </c>
      <c r="E70" s="1"/>
      <c r="F70" s="1"/>
      <c r="G70" s="1"/>
      <c r="H70" s="1"/>
      <c r="I70" s="1"/>
      <c r="J70" s="30"/>
      <c r="K70" s="42"/>
      <c r="L70" s="7"/>
      <c r="M70" s="1"/>
      <c r="N70" s="1">
        <f>J70*C5*12</f>
        <v>0</v>
      </c>
    </row>
    <row r="71" spans="2:14" ht="12.75">
      <c r="B71" s="1"/>
      <c r="C71" s="3"/>
      <c r="D71" s="3" t="s">
        <v>536</v>
      </c>
      <c r="E71" s="1"/>
      <c r="F71" s="1"/>
      <c r="G71" s="1"/>
      <c r="H71" s="1"/>
      <c r="I71" s="1"/>
      <c r="J71" s="30"/>
      <c r="K71" s="42"/>
      <c r="L71" s="7"/>
      <c r="M71" s="1"/>
      <c r="N71" s="1">
        <f>J71*C5*12</f>
        <v>0</v>
      </c>
    </row>
    <row r="72" spans="2:14" ht="25.5">
      <c r="B72" s="1"/>
      <c r="C72" s="3"/>
      <c r="D72" s="3" t="s">
        <v>112</v>
      </c>
      <c r="E72" s="1"/>
      <c r="F72" s="1"/>
      <c r="G72" s="1"/>
      <c r="H72" s="1"/>
      <c r="I72" s="1"/>
      <c r="J72" s="30"/>
      <c r="K72" s="42"/>
      <c r="L72" s="7"/>
      <c r="M72" s="1"/>
      <c r="N72" s="1">
        <f>J72*C5*12</f>
        <v>0</v>
      </c>
    </row>
    <row r="73" spans="2:14" ht="12.75">
      <c r="B73" s="1"/>
      <c r="C73" s="3"/>
      <c r="D73" s="3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4"/>
      <c r="E74" s="2"/>
      <c r="F74" s="2"/>
      <c r="G74" s="2"/>
      <c r="H74" s="2"/>
      <c r="I74" s="2"/>
      <c r="J74" s="31"/>
      <c r="K74" s="43"/>
      <c r="L74" s="6"/>
      <c r="M74" s="2"/>
      <c r="N74" s="2">
        <f>SUM(N69:N73)</f>
        <v>0</v>
      </c>
    </row>
    <row r="75" spans="2:14" ht="12.75">
      <c r="B75" s="1" t="s">
        <v>113</v>
      </c>
      <c r="C75" s="4" t="s">
        <v>484</v>
      </c>
      <c r="D75" s="4"/>
      <c r="E75" s="2"/>
      <c r="F75" s="2"/>
      <c r="G75" s="2"/>
      <c r="H75" s="2"/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3"/>
      <c r="E76" s="1"/>
      <c r="F76" s="1"/>
      <c r="G76" s="1"/>
      <c r="H76" s="1"/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3"/>
      <c r="E77" s="1"/>
      <c r="F77" s="1"/>
      <c r="G77" s="1"/>
      <c r="H77" s="1"/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3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3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4"/>
      <c r="E80" s="2"/>
      <c r="F80" s="2"/>
      <c r="G80" s="2"/>
      <c r="H80" s="2"/>
      <c r="I80" s="2"/>
      <c r="J80" s="31"/>
      <c r="K80" s="43"/>
      <c r="L80" s="6"/>
      <c r="M80" s="2"/>
      <c r="N80" s="2">
        <f>N33+N42+N43+N50+N59+N67+N74</f>
        <v>0</v>
      </c>
    </row>
    <row r="81" spans="2:14" ht="12.75">
      <c r="B81" s="1"/>
      <c r="C81" s="3" t="s">
        <v>118</v>
      </c>
      <c r="D81" s="3"/>
      <c r="E81" s="1"/>
      <c r="F81" s="1"/>
      <c r="G81" s="1"/>
      <c r="H81" s="1"/>
      <c r="I81" s="1"/>
      <c r="J81" s="30"/>
      <c r="K81" s="42"/>
      <c r="L81" s="7"/>
      <c r="M81" s="1"/>
      <c r="N81" s="1">
        <f>J81*C5*12</f>
        <v>0</v>
      </c>
    </row>
    <row r="82" spans="2:14" ht="25.5">
      <c r="B82" s="1"/>
      <c r="C82" s="3" t="s">
        <v>119</v>
      </c>
      <c r="D82" s="3"/>
      <c r="E82" s="1"/>
      <c r="F82" s="1"/>
      <c r="G82" s="1"/>
      <c r="H82" s="1"/>
      <c r="I82" s="1"/>
      <c r="J82" s="30"/>
      <c r="K82" s="42"/>
      <c r="L82" s="7"/>
      <c r="M82" s="1"/>
      <c r="N82" s="1">
        <f>J82*C5*12</f>
        <v>0</v>
      </c>
    </row>
    <row r="83" spans="2:14" ht="12.75">
      <c r="B83" s="2" t="s">
        <v>590</v>
      </c>
      <c r="C83" s="4"/>
      <c r="D83" s="4"/>
      <c r="E83" s="2"/>
      <c r="F83" s="2"/>
      <c r="G83" s="2"/>
      <c r="H83" s="2"/>
      <c r="I83" s="2"/>
      <c r="J83" s="31"/>
      <c r="K83" s="43"/>
      <c r="L83" s="6"/>
      <c r="M83" s="2"/>
      <c r="N83" s="2">
        <f>SUM(N80:N82)</f>
        <v>0</v>
      </c>
    </row>
    <row r="84" spans="2:14" ht="12.75">
      <c r="B84" s="1" t="s">
        <v>120</v>
      </c>
      <c r="C84" s="3"/>
      <c r="D84" s="3"/>
      <c r="E84" s="1"/>
      <c r="F84" s="1"/>
      <c r="G84" s="1"/>
      <c r="H84" s="1"/>
      <c r="I84" s="1"/>
      <c r="J84" s="30"/>
      <c r="K84" s="42"/>
      <c r="L84" s="7"/>
      <c r="M84" s="1"/>
      <c r="N84" s="1"/>
    </row>
    <row r="85" spans="2:14" ht="25.5">
      <c r="B85" s="1"/>
      <c r="C85" s="4" t="s">
        <v>121</v>
      </c>
      <c r="D85" s="4"/>
      <c r="E85" s="2"/>
      <c r="F85" s="2"/>
      <c r="G85" s="2"/>
      <c r="H85" s="2"/>
      <c r="I85" s="2"/>
      <c r="J85" s="31"/>
      <c r="K85" s="43"/>
      <c r="L85" s="6"/>
      <c r="M85" s="2"/>
      <c r="N85" s="2">
        <f>N83+N84</f>
        <v>0</v>
      </c>
    </row>
    <row r="86" spans="2:14" ht="12.75">
      <c r="B86" s="1"/>
      <c r="C86" s="4" t="s">
        <v>193</v>
      </c>
      <c r="D86" s="4"/>
      <c r="E86" s="2"/>
      <c r="F86" s="2"/>
      <c r="G86" s="2"/>
      <c r="H86" s="2"/>
      <c r="I86" s="2"/>
      <c r="J86" s="2"/>
      <c r="K86" s="2"/>
      <c r="L86" s="6"/>
      <c r="M86" s="2"/>
      <c r="N86" s="2">
        <v>9184.92</v>
      </c>
    </row>
    <row r="87" spans="2:14" ht="12.75"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2" t="s">
        <v>231</v>
      </c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 t="s">
        <v>219</v>
      </c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 t="s">
        <v>220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2" t="s">
        <v>221</v>
      </c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</row>
    <row r="92" spans="2:14" ht="12.75">
      <c r="B92" s="1"/>
      <c r="C92" s="2" t="s">
        <v>232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 t="s">
        <v>219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 t="s">
        <v>220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2" t="s">
        <v>221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2" t="s">
        <v>233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 t="s">
        <v>219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 t="s">
        <v>220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 t="s">
        <v>238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</sheetData>
  <mergeCells count="16">
    <mergeCell ref="N16:N18"/>
    <mergeCell ref="K14:N15"/>
    <mergeCell ref="B14:B18"/>
    <mergeCell ref="C14:C18"/>
    <mergeCell ref="D14:D18"/>
    <mergeCell ref="E14:E18"/>
    <mergeCell ref="F14:F18"/>
    <mergeCell ref="G14:H14"/>
    <mergeCell ref="I14:J14"/>
    <mergeCell ref="G16:G18"/>
    <mergeCell ref="L16:L18"/>
    <mergeCell ref="M16:M18"/>
    <mergeCell ref="H16:H18"/>
    <mergeCell ref="I16:I18"/>
    <mergeCell ref="J16:J18"/>
    <mergeCell ref="K16:K18"/>
  </mergeCells>
  <printOptions/>
  <pageMargins left="0.984251968503937" right="0.7874015748031497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K99"/>
  <sheetViews>
    <sheetView workbookViewId="0" topLeftCell="A4">
      <pane xSplit="1" ySplit="14" topLeftCell="B45" activePane="bottomRight" state="frozen"/>
      <selection pane="topLeft" activeCell="A4" sqref="A4"/>
      <selection pane="topRight" activeCell="B4" sqref="B4"/>
      <selection pane="bottomLeft" activeCell="A18" sqref="A18"/>
      <selection pane="bottomRight" activeCell="R48" sqref="R48"/>
    </sheetView>
  </sheetViews>
  <sheetFormatPr defaultColWidth="9.140625" defaultRowHeight="12.75"/>
  <cols>
    <col min="3" max="3" width="29.7109375" style="0" customWidth="1"/>
    <col min="4" max="4" width="16.7109375" style="0" customWidth="1"/>
    <col min="5" max="5" width="13.28125" style="0" hidden="1" customWidth="1"/>
    <col min="6" max="6" width="12.8515625" style="0" hidden="1" customWidth="1"/>
    <col min="7" max="7" width="11.421875" style="0" hidden="1" customWidth="1"/>
    <col min="8" max="8" width="10.7109375" style="0" hidden="1" customWidth="1"/>
    <col min="9" max="9" width="9.8515625" style="0" hidden="1" customWidth="1"/>
    <col min="10" max="10" width="10.421875" style="0" customWidth="1"/>
    <col min="11" max="11" width="13.421875" style="0" customWidth="1"/>
  </cols>
  <sheetData>
    <row r="4" spans="2:3" ht="12.75">
      <c r="B4" t="s">
        <v>487</v>
      </c>
      <c r="C4" s="5" t="s">
        <v>376</v>
      </c>
    </row>
    <row r="5" spans="2:3" ht="12.75">
      <c r="B5" t="s">
        <v>488</v>
      </c>
      <c r="C5">
        <v>3563.2</v>
      </c>
    </row>
    <row r="6" spans="2:3" ht="12.75">
      <c r="B6" t="s">
        <v>489</v>
      </c>
      <c r="C6">
        <v>3672</v>
      </c>
    </row>
    <row r="7" spans="2:3" ht="12.75">
      <c r="B7" t="s">
        <v>490</v>
      </c>
      <c r="C7" s="5">
        <v>866</v>
      </c>
    </row>
    <row r="8" spans="2:3" ht="12.75">
      <c r="B8" t="s">
        <v>491</v>
      </c>
      <c r="C8">
        <v>941.1</v>
      </c>
    </row>
    <row r="9" spans="2:3" ht="12.75">
      <c r="B9" t="s">
        <v>493</v>
      </c>
      <c r="C9">
        <v>72</v>
      </c>
    </row>
    <row r="10" spans="2:3" ht="12.75">
      <c r="B10" t="s">
        <v>494</v>
      </c>
      <c r="C10">
        <v>9</v>
      </c>
    </row>
    <row r="11" spans="2:3" ht="12.75">
      <c r="B11" t="s">
        <v>484</v>
      </c>
      <c r="C11">
        <v>1</v>
      </c>
    </row>
    <row r="12" spans="2:3" ht="12.75">
      <c r="B12" t="s">
        <v>547</v>
      </c>
      <c r="C12">
        <v>2</v>
      </c>
    </row>
    <row r="13" spans="2:11" ht="12.75" customHeight="1">
      <c r="B13" s="74" t="s">
        <v>40</v>
      </c>
      <c r="C13" s="74" t="s">
        <v>22</v>
      </c>
      <c r="D13" s="74" t="s">
        <v>41</v>
      </c>
      <c r="E13" s="74" t="s">
        <v>42</v>
      </c>
      <c r="F13" s="74" t="s">
        <v>43</v>
      </c>
      <c r="G13" s="74" t="s">
        <v>44</v>
      </c>
      <c r="H13" s="74"/>
      <c r="I13" s="67" t="s">
        <v>123</v>
      </c>
      <c r="J13" s="68"/>
      <c r="K13" s="78"/>
    </row>
    <row r="14" spans="2:11" ht="12.75" customHeight="1">
      <c r="B14" s="74"/>
      <c r="C14" s="74"/>
      <c r="D14" s="74"/>
      <c r="E14" s="74"/>
      <c r="F14" s="74"/>
      <c r="G14" s="74" t="s">
        <v>122</v>
      </c>
      <c r="H14" s="74" t="s">
        <v>45</v>
      </c>
      <c r="I14" s="74" t="s">
        <v>124</v>
      </c>
      <c r="J14" s="74" t="s">
        <v>125</v>
      </c>
      <c r="K14" s="75" t="s">
        <v>377</v>
      </c>
    </row>
    <row r="15" spans="2:11" ht="12.75">
      <c r="B15" s="74"/>
      <c r="C15" s="74"/>
      <c r="D15" s="74"/>
      <c r="E15" s="74"/>
      <c r="F15" s="74"/>
      <c r="G15" s="74"/>
      <c r="H15" s="74"/>
      <c r="I15" s="74"/>
      <c r="J15" s="74"/>
      <c r="K15" s="76"/>
    </row>
    <row r="16" spans="2:11" ht="12.75">
      <c r="B16" s="74"/>
      <c r="C16" s="74"/>
      <c r="D16" s="74"/>
      <c r="E16" s="74"/>
      <c r="F16" s="74"/>
      <c r="G16" s="74"/>
      <c r="H16" s="74"/>
      <c r="I16" s="74"/>
      <c r="J16" s="74"/>
      <c r="K16" s="76"/>
    </row>
    <row r="17" spans="2:11" ht="12.75">
      <c r="B17" s="74"/>
      <c r="C17" s="74"/>
      <c r="D17" s="74"/>
      <c r="E17" s="74"/>
      <c r="F17" s="74"/>
      <c r="G17" s="74"/>
      <c r="H17" s="74"/>
      <c r="I17" s="74"/>
      <c r="J17" s="74"/>
      <c r="K17" s="77"/>
    </row>
    <row r="18" spans="2:11" ht="12.7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12.7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2.7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2.75">
      <c r="B21" s="1"/>
      <c r="C21" s="4" t="s">
        <v>46</v>
      </c>
      <c r="D21" s="2"/>
      <c r="E21" s="2">
        <v>141634.46</v>
      </c>
      <c r="F21" s="2"/>
      <c r="G21" s="2">
        <v>98901.86</v>
      </c>
      <c r="H21" s="2">
        <v>42732.6</v>
      </c>
      <c r="I21" s="1"/>
      <c r="J21" s="1"/>
      <c r="K21" s="1"/>
    </row>
    <row r="22" spans="2:11" ht="12.75">
      <c r="B22" s="1"/>
      <c r="C22" s="3"/>
      <c r="D22" s="3"/>
      <c r="E22" s="1"/>
      <c r="F22" s="1"/>
      <c r="G22" s="1"/>
      <c r="H22" s="1"/>
      <c r="I22" s="1"/>
      <c r="J22" s="1"/>
      <c r="K22" s="1"/>
    </row>
    <row r="23" spans="2:11" ht="12.75">
      <c r="B23" s="1" t="s">
        <v>47</v>
      </c>
      <c r="C23" s="4" t="s">
        <v>23</v>
      </c>
      <c r="D23" s="4"/>
      <c r="E23" s="2"/>
      <c r="F23" s="2"/>
      <c r="G23" s="2"/>
      <c r="H23" s="2"/>
      <c r="I23" s="1"/>
      <c r="J23" s="1"/>
      <c r="K23" s="1"/>
    </row>
    <row r="24" spans="2:11" ht="25.5">
      <c r="B24" s="1" t="s">
        <v>48</v>
      </c>
      <c r="C24" s="4" t="s">
        <v>24</v>
      </c>
      <c r="D24" s="4"/>
      <c r="E24" s="2">
        <v>17784</v>
      </c>
      <c r="F24" s="2"/>
      <c r="G24" s="2">
        <v>10809.7</v>
      </c>
      <c r="H24" s="2">
        <v>6974.3</v>
      </c>
      <c r="I24" s="1"/>
      <c r="J24" s="1"/>
      <c r="K24" s="1"/>
    </row>
    <row r="25" spans="2:11" ht="38.25">
      <c r="B25" s="1" t="s">
        <v>49</v>
      </c>
      <c r="C25" s="3" t="s">
        <v>25</v>
      </c>
      <c r="D25" s="3"/>
      <c r="E25" s="1"/>
      <c r="F25" s="1"/>
      <c r="G25" s="1"/>
      <c r="H25" s="1"/>
      <c r="I25" s="1"/>
      <c r="J25" s="1"/>
      <c r="K25" s="1"/>
    </row>
    <row r="26" spans="2:11" ht="38.25">
      <c r="B26" s="1" t="s">
        <v>50</v>
      </c>
      <c r="C26" s="3" t="s">
        <v>26</v>
      </c>
      <c r="D26" s="3" t="s">
        <v>51</v>
      </c>
      <c r="E26" s="1"/>
      <c r="F26" s="1">
        <v>2343012.48</v>
      </c>
      <c r="G26" s="1">
        <v>1045514.2</v>
      </c>
      <c r="H26" s="1">
        <v>1297498.3</v>
      </c>
      <c r="I26" s="1">
        <f>H26/H24*C8</f>
        <v>175082.18030913497</v>
      </c>
      <c r="J26" s="30">
        <f>I26/C5/12</f>
        <v>4.094685028184753</v>
      </c>
      <c r="K26" s="7">
        <f>J26*C5*3</f>
        <v>43770.545077283736</v>
      </c>
    </row>
    <row r="27" spans="2:11" ht="38.25">
      <c r="B27" s="1" t="s">
        <v>52</v>
      </c>
      <c r="C27" s="3" t="s">
        <v>27</v>
      </c>
      <c r="D27" s="3" t="s">
        <v>53</v>
      </c>
      <c r="E27" s="1"/>
      <c r="F27" s="1">
        <v>796624.2</v>
      </c>
      <c r="G27" s="1">
        <v>355474.8</v>
      </c>
      <c r="H27" s="1">
        <v>441149.4</v>
      </c>
      <c r="I27" s="1">
        <f>H27/H24*C8</f>
        <v>59527.93833646388</v>
      </c>
      <c r="J27" s="30">
        <f>I27/C5/12</f>
        <v>1.39219284015454</v>
      </c>
      <c r="K27" s="7">
        <f>J27*C5*3</f>
        <v>14881.98458411597</v>
      </c>
    </row>
    <row r="28" spans="2:11" ht="12.75">
      <c r="B28" s="1" t="s">
        <v>54</v>
      </c>
      <c r="C28" s="3" t="s">
        <v>28</v>
      </c>
      <c r="D28" s="3" t="s">
        <v>536</v>
      </c>
      <c r="E28" s="1"/>
      <c r="F28" s="1">
        <v>116909.87</v>
      </c>
      <c r="G28" s="1">
        <v>71061.7</v>
      </c>
      <c r="H28" s="1">
        <v>45848.2</v>
      </c>
      <c r="I28" s="1">
        <f>H28/H24*C8</f>
        <v>6186.676945356523</v>
      </c>
      <c r="J28" s="30">
        <f>I28/C5/12</f>
        <v>0.14468915921448236</v>
      </c>
      <c r="K28" s="7">
        <f>J28*C5*3</f>
        <v>1546.6692363391305</v>
      </c>
    </row>
    <row r="29" spans="2:11" ht="12.75">
      <c r="B29" s="1" t="s">
        <v>55</v>
      </c>
      <c r="C29" s="3" t="s">
        <v>29</v>
      </c>
      <c r="D29" s="3"/>
      <c r="E29" s="1">
        <v>15</v>
      </c>
      <c r="F29" s="1"/>
      <c r="G29" s="1"/>
      <c r="H29" s="1"/>
      <c r="I29" s="1"/>
      <c r="J29" s="1"/>
      <c r="K29" s="7"/>
    </row>
    <row r="30" spans="2:11" ht="25.5">
      <c r="B30" s="1" t="s">
        <v>56</v>
      </c>
      <c r="C30" s="3" t="s">
        <v>57</v>
      </c>
      <c r="D30" s="3" t="s">
        <v>58</v>
      </c>
      <c r="E30" s="1"/>
      <c r="F30" s="1">
        <v>674</v>
      </c>
      <c r="G30" s="1"/>
      <c r="H30" s="1">
        <v>674</v>
      </c>
      <c r="I30" s="1">
        <f>H30/H24*C8</f>
        <v>90.94839625482126</v>
      </c>
      <c r="J30" s="30">
        <f>I30/C5/12</f>
        <v>0.002127029922888164</v>
      </c>
      <c r="K30" s="7">
        <f>J30*C5*3</f>
        <v>22.737099063705315</v>
      </c>
    </row>
    <row r="31" spans="2:11" ht="51">
      <c r="B31" s="1" t="s">
        <v>59</v>
      </c>
      <c r="C31" s="3" t="s">
        <v>30</v>
      </c>
      <c r="D31" s="3"/>
      <c r="E31" s="1"/>
      <c r="F31" s="1"/>
      <c r="G31" s="1"/>
      <c r="H31" s="1"/>
      <c r="I31" s="1"/>
      <c r="J31" s="1"/>
      <c r="K31" s="7"/>
    </row>
    <row r="32" spans="2:11" ht="12.75">
      <c r="B32" s="1"/>
      <c r="C32" s="4" t="s">
        <v>60</v>
      </c>
      <c r="D32" s="4"/>
      <c r="E32" s="2"/>
      <c r="F32" s="2">
        <v>3257220.6</v>
      </c>
      <c r="G32" s="2">
        <v>1472050.7</v>
      </c>
      <c r="H32" s="2">
        <v>1785169.9</v>
      </c>
      <c r="I32" s="2">
        <f>SUM(I26:I31)</f>
        <v>240887.7439872102</v>
      </c>
      <c r="J32" s="31">
        <f>SUM(J26:J31)</f>
        <v>5.633694057476664</v>
      </c>
      <c r="K32" s="6">
        <f>SUM(K26:K31)</f>
        <v>60221.935996802546</v>
      </c>
    </row>
    <row r="33" spans="2:11" ht="51">
      <c r="B33" s="1" t="s">
        <v>61</v>
      </c>
      <c r="C33" s="4" t="s">
        <v>31</v>
      </c>
      <c r="D33" s="4"/>
      <c r="E33" s="2">
        <v>111234.9</v>
      </c>
      <c r="F33" s="2"/>
      <c r="G33" s="2">
        <v>78376.2</v>
      </c>
      <c r="H33" s="2">
        <v>32858.7</v>
      </c>
      <c r="I33" s="1"/>
      <c r="J33" s="1"/>
      <c r="K33" s="7"/>
    </row>
    <row r="34" spans="2:11" ht="25.5">
      <c r="B34" s="1" t="s">
        <v>62</v>
      </c>
      <c r="C34" s="3" t="s">
        <v>32</v>
      </c>
      <c r="D34" s="3" t="s">
        <v>51</v>
      </c>
      <c r="E34" s="1"/>
      <c r="F34" s="1">
        <v>815719.552</v>
      </c>
      <c r="G34" s="1">
        <v>574756.7</v>
      </c>
      <c r="H34" s="1">
        <v>240962.9</v>
      </c>
      <c r="I34" s="1">
        <f>H34/H33*(C7+C6)</f>
        <v>33278.54237081808</v>
      </c>
      <c r="J34" s="30">
        <f>I34/C5/12</f>
        <v>0.7782925079240122</v>
      </c>
      <c r="K34" s="7">
        <f>J34*C5*3</f>
        <v>8319.63559270452</v>
      </c>
    </row>
    <row r="35" spans="2:11" ht="25.5">
      <c r="B35" s="1" t="s">
        <v>63</v>
      </c>
      <c r="C35" s="3" t="s">
        <v>311</v>
      </c>
      <c r="D35" s="3" t="s">
        <v>53</v>
      </c>
      <c r="E35" s="1"/>
      <c r="F35" s="1">
        <v>277344.6</v>
      </c>
      <c r="G35" s="1">
        <v>195417.3</v>
      </c>
      <c r="H35" s="1">
        <v>81927.4</v>
      </c>
      <c r="I35" s="1">
        <f>H35/H33*(C7+C6)</f>
        <v>11314.706339569126</v>
      </c>
      <c r="J35" s="30">
        <f>I35/C5/12</f>
        <v>0.26461949791313816</v>
      </c>
      <c r="K35" s="7">
        <f>J35*C5*3</f>
        <v>2828.6765848922814</v>
      </c>
    </row>
    <row r="36" spans="2:11" ht="12.75">
      <c r="B36" s="1" t="s">
        <v>65</v>
      </c>
      <c r="C36" s="3" t="s">
        <v>66</v>
      </c>
      <c r="D36" s="3" t="s">
        <v>536</v>
      </c>
      <c r="E36" s="1"/>
      <c r="F36" s="1">
        <v>115582.34</v>
      </c>
      <c r="G36" s="1">
        <v>81439.4</v>
      </c>
      <c r="H36" s="1">
        <v>34142.9</v>
      </c>
      <c r="I36" s="1">
        <f>H36/H33*(C6+C7)</f>
        <v>4715.356365285298</v>
      </c>
      <c r="J36" s="30">
        <f>I36/C5/12</f>
        <v>0.11027906482200688</v>
      </c>
      <c r="K36" s="7">
        <f>J36*C5*3</f>
        <v>1178.8390913213245</v>
      </c>
    </row>
    <row r="37" spans="2:11" ht="25.5">
      <c r="B37" s="1" t="s">
        <v>67</v>
      </c>
      <c r="C37" s="3" t="s">
        <v>34</v>
      </c>
      <c r="D37" s="3" t="s">
        <v>68</v>
      </c>
      <c r="E37" s="1"/>
      <c r="F37" s="1">
        <v>55220.9</v>
      </c>
      <c r="G37" s="1">
        <v>38908.7</v>
      </c>
      <c r="H37" s="1">
        <v>16312.2</v>
      </c>
      <c r="I37" s="1">
        <f>H37/H33*(C7+C6)</f>
        <v>2252.8208237087897</v>
      </c>
      <c r="J37" s="30">
        <f>I37/C5/12</f>
        <v>0.05268721055298584</v>
      </c>
      <c r="K37" s="7">
        <f>J37*C5*3</f>
        <v>563.2052059271974</v>
      </c>
    </row>
    <row r="38" spans="2:11" ht="25.5">
      <c r="B38" s="1" t="s">
        <v>69</v>
      </c>
      <c r="C38" s="3" t="s">
        <v>35</v>
      </c>
      <c r="D38" s="3"/>
      <c r="E38" s="1"/>
      <c r="F38" s="1"/>
      <c r="G38" s="1"/>
      <c r="H38" s="1"/>
      <c r="I38" s="1"/>
      <c r="J38" s="30"/>
      <c r="K38" s="7"/>
    </row>
    <row r="39" spans="2:11" ht="12.75">
      <c r="B39" s="1" t="s">
        <v>70</v>
      </c>
      <c r="C39" s="3" t="s">
        <v>36</v>
      </c>
      <c r="D39" s="3" t="s">
        <v>71</v>
      </c>
      <c r="E39" s="1"/>
      <c r="F39" s="1"/>
      <c r="G39" s="1"/>
      <c r="H39" s="1"/>
      <c r="I39" s="1"/>
      <c r="J39" s="30"/>
      <c r="K39" s="7"/>
    </row>
    <row r="40" spans="2:11" ht="12.75">
      <c r="B40" s="1" t="s">
        <v>72</v>
      </c>
      <c r="C40" s="3" t="s">
        <v>73</v>
      </c>
      <c r="D40" s="3"/>
      <c r="E40" s="1"/>
      <c r="F40" s="1">
        <v>30500</v>
      </c>
      <c r="G40" s="1">
        <v>21297.8</v>
      </c>
      <c r="H40" s="1">
        <v>9202.2</v>
      </c>
      <c r="I40" s="1">
        <f>H40/H21*C5</f>
        <v>767.3129891464596</v>
      </c>
      <c r="J40" s="30">
        <f>I40/C5/12</f>
        <v>0.017945315754248514</v>
      </c>
      <c r="K40" s="7">
        <f>J40*C5*3</f>
        <v>191.8282472866149</v>
      </c>
    </row>
    <row r="41" spans="2:11" ht="12.75">
      <c r="B41" s="1"/>
      <c r="C41" s="4" t="s">
        <v>60</v>
      </c>
      <c r="D41" s="4"/>
      <c r="E41" s="2"/>
      <c r="F41" s="2">
        <v>1294367.4</v>
      </c>
      <c r="G41" s="2">
        <v>911819.85</v>
      </c>
      <c r="H41" s="2">
        <v>382547.6</v>
      </c>
      <c r="I41" s="2">
        <f>SUM(I34:I40)</f>
        <v>52328.73888852776</v>
      </c>
      <c r="J41" s="31">
        <f>SUM(J34:J40)</f>
        <v>1.2238235969663918</v>
      </c>
      <c r="K41" s="6">
        <f>SUM(K34:K40)</f>
        <v>13082.18472213194</v>
      </c>
    </row>
    <row r="42" spans="2:11" ht="25.5">
      <c r="B42" s="1" t="s">
        <v>74</v>
      </c>
      <c r="C42" s="4" t="s">
        <v>37</v>
      </c>
      <c r="D42" s="4"/>
      <c r="E42" s="2"/>
      <c r="F42" s="2">
        <v>5004925.7</v>
      </c>
      <c r="G42" s="2">
        <v>3548598.7</v>
      </c>
      <c r="H42" s="2">
        <v>1456327</v>
      </c>
      <c r="I42" s="2">
        <f>H42/H21*C5</f>
        <v>121433.85533293083</v>
      </c>
      <c r="J42" s="31">
        <f>I42/C5/12</f>
        <v>2.8399999843991086</v>
      </c>
      <c r="K42" s="6">
        <f>J42*C5*3</f>
        <v>30358.46383323271</v>
      </c>
    </row>
    <row r="43" spans="2:11" ht="51">
      <c r="B43" s="1" t="s">
        <v>75</v>
      </c>
      <c r="C43" s="4" t="s">
        <v>38</v>
      </c>
      <c r="D43" s="4"/>
      <c r="E43" s="2">
        <v>141634.46</v>
      </c>
      <c r="F43" s="2"/>
      <c r="G43" s="2">
        <v>98901.86</v>
      </c>
      <c r="H43" s="2">
        <v>42732.6</v>
      </c>
      <c r="I43" s="1"/>
      <c r="J43" s="1"/>
      <c r="K43" s="7"/>
    </row>
    <row r="44" spans="2:11" ht="76.5">
      <c r="B44" s="1" t="s">
        <v>76</v>
      </c>
      <c r="C44" s="3" t="s">
        <v>199</v>
      </c>
      <c r="D44" s="3" t="s">
        <v>51</v>
      </c>
      <c r="E44" s="1"/>
      <c r="F44" s="1">
        <v>558138</v>
      </c>
      <c r="G44" s="1">
        <v>389741.9</v>
      </c>
      <c r="H44" s="1">
        <v>168396.1</v>
      </c>
      <c r="I44" s="1">
        <f>H44/H43*C5</f>
        <v>14041.48082541198</v>
      </c>
      <c r="J44" s="30">
        <f>I44/C5/12</f>
        <v>0.3283911658390393</v>
      </c>
      <c r="K44" s="7">
        <f>J44*C5*3</f>
        <v>3510.3702063529945</v>
      </c>
    </row>
    <row r="45" spans="2:11" ht="63.75">
      <c r="B45" s="1" t="s">
        <v>78</v>
      </c>
      <c r="C45" s="3" t="s">
        <v>300</v>
      </c>
      <c r="D45" s="3" t="s">
        <v>53</v>
      </c>
      <c r="E45" s="1"/>
      <c r="F45" s="1">
        <v>189767</v>
      </c>
      <c r="G45" s="1">
        <v>132512</v>
      </c>
      <c r="H45" s="1">
        <v>57255</v>
      </c>
      <c r="I45" s="1">
        <f>H45/H43*C5</f>
        <v>4774.130663708737</v>
      </c>
      <c r="J45" s="30">
        <f>I45/C5/12</f>
        <v>0.11165363212161207</v>
      </c>
      <c r="K45" s="7">
        <f>J45*C5*3</f>
        <v>1193.5326659271843</v>
      </c>
    </row>
    <row r="46" spans="2:11" ht="102">
      <c r="B46" s="1" t="s">
        <v>80</v>
      </c>
      <c r="C46" s="29" t="s">
        <v>129</v>
      </c>
      <c r="D46" s="3" t="s">
        <v>536</v>
      </c>
      <c r="E46" s="1"/>
      <c r="F46" s="1">
        <v>111512.16</v>
      </c>
      <c r="G46" s="1">
        <v>77867.8</v>
      </c>
      <c r="H46" s="1">
        <v>33644.4</v>
      </c>
      <c r="I46" s="1">
        <f>H46/H43*C5</f>
        <v>2805.392746521391</v>
      </c>
      <c r="J46" s="30">
        <f>I46/C5/12</f>
        <v>0.06561033028647918</v>
      </c>
      <c r="K46" s="7">
        <f>J46*C5*3</f>
        <v>701.3481866303479</v>
      </c>
    </row>
    <row r="47" spans="2:11" ht="12.75">
      <c r="B47" s="1"/>
      <c r="C47" s="3"/>
      <c r="D47" s="3"/>
      <c r="E47" s="1"/>
      <c r="F47" s="1"/>
      <c r="G47" s="1"/>
      <c r="H47" s="1"/>
      <c r="I47" s="1"/>
      <c r="J47" s="30"/>
      <c r="K47" s="7"/>
    </row>
    <row r="48" spans="2:11" ht="12.75">
      <c r="B48" s="1"/>
      <c r="C48" s="4"/>
      <c r="D48" s="3" t="s">
        <v>71</v>
      </c>
      <c r="E48" s="1"/>
      <c r="F48" s="1"/>
      <c r="G48" s="1"/>
      <c r="H48" s="1"/>
      <c r="I48" s="1"/>
      <c r="J48" s="30"/>
      <c r="K48" s="7"/>
    </row>
    <row r="49" spans="2:11" ht="12.75">
      <c r="B49" s="1"/>
      <c r="C49" s="4" t="s">
        <v>60</v>
      </c>
      <c r="D49" s="4"/>
      <c r="E49" s="2"/>
      <c r="F49" s="2">
        <v>859417.1</v>
      </c>
      <c r="G49" s="2">
        <v>600121.9</v>
      </c>
      <c r="H49" s="2">
        <v>259295.1</v>
      </c>
      <c r="I49" s="2">
        <f>SUM(I44:I48)</f>
        <v>21621.00423564211</v>
      </c>
      <c r="J49" s="31">
        <f>SUM(J44:J48)</f>
        <v>0.5056551282471305</v>
      </c>
      <c r="K49" s="6">
        <f>SUM(K44:K48)</f>
        <v>5405.251058910527</v>
      </c>
    </row>
    <row r="50" spans="2:11" ht="51">
      <c r="B50" s="1" t="s">
        <v>81</v>
      </c>
      <c r="C50" s="4" t="s">
        <v>39</v>
      </c>
      <c r="D50" s="4"/>
      <c r="E50" s="2">
        <v>141634.46</v>
      </c>
      <c r="F50" s="2"/>
      <c r="G50" s="2">
        <v>98901.86</v>
      </c>
      <c r="H50" s="2">
        <v>42732.6</v>
      </c>
      <c r="I50" s="1"/>
      <c r="J50" s="1"/>
      <c r="K50" s="7"/>
    </row>
    <row r="51" spans="2:11" ht="38.25">
      <c r="B51" s="1" t="s">
        <v>82</v>
      </c>
      <c r="C51" s="3" t="s">
        <v>83</v>
      </c>
      <c r="D51" s="3" t="s">
        <v>51</v>
      </c>
      <c r="E51" s="1"/>
      <c r="F51" s="1">
        <v>667518.8</v>
      </c>
      <c r="G51" s="1">
        <v>466121.4</v>
      </c>
      <c r="H51" s="1">
        <v>201397.4</v>
      </c>
      <c r="I51" s="1">
        <f>H51/H50*C5</f>
        <v>16793.249549056225</v>
      </c>
      <c r="J51" s="30">
        <f>I51/C5/12</f>
        <v>0.3927473794402088</v>
      </c>
      <c r="K51" s="44">
        <f>J51*C5*3</f>
        <v>4198.312387264055</v>
      </c>
    </row>
    <row r="52" spans="2:11" ht="12.75">
      <c r="B52" s="1" t="s">
        <v>84</v>
      </c>
      <c r="C52" s="3" t="s">
        <v>183</v>
      </c>
      <c r="D52" s="3" t="s">
        <v>53</v>
      </c>
      <c r="E52" s="1"/>
      <c r="F52" s="1">
        <v>226956</v>
      </c>
      <c r="G52" s="1">
        <v>158481.3</v>
      </c>
      <c r="H52" s="1">
        <v>68475.1</v>
      </c>
      <c r="I52" s="1">
        <f>H52/H50*C5</f>
        <v>5709.7035125407765</v>
      </c>
      <c r="J52" s="30">
        <f>I52/C5/12</f>
        <v>0.13353407780788748</v>
      </c>
      <c r="K52" s="44">
        <f>J52*C5*3</f>
        <v>1427.4258781351941</v>
      </c>
    </row>
    <row r="53" spans="2:11" ht="63.75">
      <c r="B53" s="1" t="s">
        <v>86</v>
      </c>
      <c r="C53" s="53" t="s">
        <v>303</v>
      </c>
      <c r="D53" s="3" t="s">
        <v>536</v>
      </c>
      <c r="E53" s="1"/>
      <c r="F53" s="1">
        <v>446048.65</v>
      </c>
      <c r="G53" s="1">
        <v>311471.1</v>
      </c>
      <c r="H53" s="1">
        <v>134577.5</v>
      </c>
      <c r="I53" s="1">
        <f>H53/H50*C5</f>
        <v>11221.562647720944</v>
      </c>
      <c r="J53" s="30">
        <f>I53/C5/12</f>
        <v>0.2624411261347699</v>
      </c>
      <c r="K53" s="44">
        <f>J53*C5*3</f>
        <v>2805.390661930236</v>
      </c>
    </row>
    <row r="54" spans="2:11" ht="51">
      <c r="B54" s="1" t="s">
        <v>88</v>
      </c>
      <c r="C54" s="3" t="s">
        <v>130</v>
      </c>
      <c r="D54" s="3"/>
      <c r="E54" s="1"/>
      <c r="F54" s="1"/>
      <c r="G54" s="1"/>
      <c r="H54" s="1"/>
      <c r="I54" s="1"/>
      <c r="J54" s="30"/>
      <c r="K54" s="44"/>
    </row>
    <row r="55" spans="2:11" ht="51">
      <c r="B55" s="1" t="s">
        <v>89</v>
      </c>
      <c r="C55" s="3" t="s">
        <v>90</v>
      </c>
      <c r="D55" s="3" t="s">
        <v>71</v>
      </c>
      <c r="E55" s="1"/>
      <c r="F55" s="1"/>
      <c r="G55" s="1"/>
      <c r="H55" s="1"/>
      <c r="I55" s="1"/>
      <c r="J55" s="30"/>
      <c r="K55" s="6"/>
    </row>
    <row r="56" spans="2:11" ht="76.5">
      <c r="B56" s="1" t="s">
        <v>91</v>
      </c>
      <c r="C56" s="3" t="s">
        <v>92</v>
      </c>
      <c r="D56" s="3"/>
      <c r="E56" s="1"/>
      <c r="F56" s="1"/>
      <c r="G56" s="1"/>
      <c r="H56" s="1"/>
      <c r="I56" s="1"/>
      <c r="J56" s="30"/>
      <c r="K56" s="6"/>
    </row>
    <row r="57" spans="2:11" ht="25.5">
      <c r="B57" s="1" t="s">
        <v>93</v>
      </c>
      <c r="C57" s="3" t="s">
        <v>94</v>
      </c>
      <c r="D57" s="3"/>
      <c r="E57" s="1"/>
      <c r="F57" s="1"/>
      <c r="G57" s="1"/>
      <c r="H57" s="1"/>
      <c r="I57" s="1"/>
      <c r="J57" s="30"/>
      <c r="K57" s="6"/>
    </row>
    <row r="58" spans="2:11" ht="12.75">
      <c r="B58" s="1"/>
      <c r="C58" s="4" t="s">
        <v>60</v>
      </c>
      <c r="D58" s="4"/>
      <c r="E58" s="2"/>
      <c r="F58" s="2">
        <v>1340523.8</v>
      </c>
      <c r="G58" s="2">
        <v>936073.8</v>
      </c>
      <c r="H58" s="2">
        <v>404450.1</v>
      </c>
      <c r="I58" s="2">
        <f>SUM(I51:I57)</f>
        <v>33724.515709317944</v>
      </c>
      <c r="J58" s="31">
        <f>SUM(J51:J57)</f>
        <v>0.7887225833828662</v>
      </c>
      <c r="K58" s="6">
        <f>SUM(K51:K57)</f>
        <v>8431.128927329486</v>
      </c>
    </row>
    <row r="59" spans="2:11" ht="51">
      <c r="B59" s="1" t="s">
        <v>95</v>
      </c>
      <c r="C59" s="4" t="s">
        <v>481</v>
      </c>
      <c r="D59" s="4"/>
      <c r="E59" s="2">
        <v>141634.46</v>
      </c>
      <c r="F59" s="2"/>
      <c r="G59" s="2">
        <v>98901.86</v>
      </c>
      <c r="H59" s="2">
        <v>42732.6</v>
      </c>
      <c r="I59" s="1"/>
      <c r="J59" s="1"/>
      <c r="K59" s="7"/>
    </row>
    <row r="60" spans="2:11" ht="25.5">
      <c r="B60" s="1" t="s">
        <v>96</v>
      </c>
      <c r="C60" s="3" t="s">
        <v>97</v>
      </c>
      <c r="D60" s="3" t="s">
        <v>51</v>
      </c>
      <c r="E60" s="1"/>
      <c r="F60" s="1">
        <v>3033160.58</v>
      </c>
      <c r="G60" s="1">
        <v>2118024.3</v>
      </c>
      <c r="H60" s="1">
        <v>915136.3</v>
      </c>
      <c r="I60" s="1">
        <f>H60/H59*C5</f>
        <v>76307.40147241217</v>
      </c>
      <c r="J60" s="30">
        <f>I60/C5/12</f>
        <v>1.784617793753091</v>
      </c>
      <c r="K60" s="7">
        <f>J60*C5*3</f>
        <v>19076.85036810304</v>
      </c>
    </row>
    <row r="61" spans="2:11" ht="25.5">
      <c r="B61" s="1" t="s">
        <v>98</v>
      </c>
      <c r="C61" s="3" t="s">
        <v>297</v>
      </c>
      <c r="D61" s="3" t="s">
        <v>53</v>
      </c>
      <c r="E61" s="1"/>
      <c r="F61" s="1">
        <v>1031274.6</v>
      </c>
      <c r="G61" s="1">
        <v>720128.3</v>
      </c>
      <c r="H61" s="1">
        <v>311146.3</v>
      </c>
      <c r="I61" s="1">
        <f>H61/H59*C5</f>
        <v>25944.512998506994</v>
      </c>
      <c r="J61" s="30">
        <f>I61/C5/12</f>
        <v>0.6067699679713693</v>
      </c>
      <c r="K61" s="7">
        <f>J61*C5*3</f>
        <v>6486.128249626749</v>
      </c>
    </row>
    <row r="62" spans="2:11" ht="12.75">
      <c r="B62" s="1" t="s">
        <v>100</v>
      </c>
      <c r="C62" s="3" t="s">
        <v>302</v>
      </c>
      <c r="D62" s="3" t="s">
        <v>536</v>
      </c>
      <c r="E62" s="1"/>
      <c r="F62" s="1">
        <v>719534.71</v>
      </c>
      <c r="G62" s="1">
        <v>502443.6</v>
      </c>
      <c r="H62" s="1">
        <v>217091.2</v>
      </c>
      <c r="I62" s="1">
        <f>H62/H59*C5</f>
        <v>18101.85581593444</v>
      </c>
      <c r="J62" s="30">
        <f>I62/C5/12</f>
        <v>0.423352038802538</v>
      </c>
      <c r="K62" s="7">
        <f>J62*C5*3</f>
        <v>4525.46395398361</v>
      </c>
    </row>
    <row r="63" spans="2:11" ht="25.5">
      <c r="B63" s="1" t="s">
        <v>102</v>
      </c>
      <c r="C63" s="3" t="s">
        <v>103</v>
      </c>
      <c r="D63" s="3"/>
      <c r="E63" s="1"/>
      <c r="F63" s="1"/>
      <c r="G63" s="1"/>
      <c r="H63" s="1"/>
      <c r="I63" s="1"/>
      <c r="J63" s="30"/>
      <c r="K63" s="7"/>
    </row>
    <row r="64" spans="2:11" ht="51">
      <c r="B64" s="1" t="s">
        <v>104</v>
      </c>
      <c r="C64" s="4" t="s">
        <v>301</v>
      </c>
      <c r="D64" s="3" t="s">
        <v>71</v>
      </c>
      <c r="E64" s="1"/>
      <c r="F64" s="1"/>
      <c r="G64" s="1"/>
      <c r="H64" s="1"/>
      <c r="I64" s="1"/>
      <c r="J64" s="30"/>
      <c r="K64" s="7"/>
    </row>
    <row r="65" spans="2:11" ht="63.75">
      <c r="B65" s="1" t="s">
        <v>105</v>
      </c>
      <c r="C65" s="3" t="s">
        <v>106</v>
      </c>
      <c r="D65" s="3" t="s">
        <v>107</v>
      </c>
      <c r="E65" s="3" t="s">
        <v>108</v>
      </c>
      <c r="F65" s="1">
        <v>71968.71</v>
      </c>
      <c r="G65" s="1">
        <v>32713.05</v>
      </c>
      <c r="H65" s="1">
        <v>39255.66</v>
      </c>
      <c r="I65" s="1">
        <f>H65/6*C12</f>
        <v>13085.220000000001</v>
      </c>
      <c r="J65" s="30">
        <f>I65/C5/12</f>
        <v>0.3060268859452178</v>
      </c>
      <c r="K65" s="7">
        <f>J65*C5*3</f>
        <v>3271.3050000000003</v>
      </c>
    </row>
    <row r="66" spans="2:11" ht="12.75">
      <c r="B66" s="1"/>
      <c r="C66" s="4" t="s">
        <v>60</v>
      </c>
      <c r="D66" s="4"/>
      <c r="E66" s="2"/>
      <c r="F66" s="2">
        <v>4855938.6</v>
      </c>
      <c r="G66" s="2">
        <v>3373309.1</v>
      </c>
      <c r="H66" s="2">
        <v>1482629.5</v>
      </c>
      <c r="I66" s="2">
        <f>SUM(I60:I65)</f>
        <v>133438.9902868536</v>
      </c>
      <c r="J66" s="31">
        <f>SUM(J60:J65)</f>
        <v>3.120766686472216</v>
      </c>
      <c r="K66" s="6">
        <f>SUM(K60:K65)</f>
        <v>33359.7475717134</v>
      </c>
    </row>
    <row r="67" spans="2:11" ht="12.75">
      <c r="B67" s="1" t="s">
        <v>109</v>
      </c>
      <c r="C67" s="4" t="s">
        <v>482</v>
      </c>
      <c r="D67" s="4"/>
      <c r="E67" s="2">
        <v>141634.46</v>
      </c>
      <c r="F67" s="2"/>
      <c r="G67" s="2">
        <v>98901.86</v>
      </c>
      <c r="H67" s="2">
        <v>42732.6</v>
      </c>
      <c r="I67" s="1"/>
      <c r="J67" s="1"/>
      <c r="K67" s="7"/>
    </row>
    <row r="68" spans="2:11" ht="89.25">
      <c r="B68" s="1" t="s">
        <v>110</v>
      </c>
      <c r="C68" s="3" t="s">
        <v>483</v>
      </c>
      <c r="D68" s="3" t="s">
        <v>111</v>
      </c>
      <c r="E68" s="1"/>
      <c r="F68" s="1">
        <v>277923.9</v>
      </c>
      <c r="G68" s="1">
        <v>194071.3</v>
      </c>
      <c r="H68" s="1">
        <v>83852.6</v>
      </c>
      <c r="I68" s="1">
        <f>H68/H67*C5</f>
        <v>6991.935532123017</v>
      </c>
      <c r="J68" s="30">
        <f>I68/C5/12</f>
        <v>0.16352191691277077</v>
      </c>
      <c r="K68" s="7">
        <f>J68*C5*3</f>
        <v>1747.9838830307544</v>
      </c>
    </row>
    <row r="69" spans="2:11" ht="12.75">
      <c r="B69" s="1"/>
      <c r="C69" s="3"/>
      <c r="D69" s="3" t="s">
        <v>53</v>
      </c>
      <c r="E69" s="1"/>
      <c r="F69" s="1">
        <v>94494.1</v>
      </c>
      <c r="G69" s="1">
        <v>65984.3</v>
      </c>
      <c r="H69" s="1">
        <v>28509.9</v>
      </c>
      <c r="I69" s="1">
        <f>H69/H67*C5</f>
        <v>2377.259415060165</v>
      </c>
      <c r="J69" s="30">
        <f>I69/C5/12</f>
        <v>0.05559748295212555</v>
      </c>
      <c r="K69" s="7">
        <f>J69*C5*3</f>
        <v>594.3148537650412</v>
      </c>
    </row>
    <row r="70" spans="2:11" ht="12.75">
      <c r="B70" s="1"/>
      <c r="C70" s="3"/>
      <c r="D70" s="3" t="s">
        <v>536</v>
      </c>
      <c r="E70" s="1"/>
      <c r="F70" s="1">
        <v>79948</v>
      </c>
      <c r="G70" s="1">
        <v>55826.9</v>
      </c>
      <c r="H70" s="1">
        <v>24121.1</v>
      </c>
      <c r="I70" s="1">
        <f>H70/H67*C5</f>
        <v>2011.3052685771518</v>
      </c>
      <c r="J70" s="30">
        <f>I70/C5/12</f>
        <v>0.04703883373973656</v>
      </c>
      <c r="K70" s="7">
        <f>J70*C5*3</f>
        <v>502.82631714428794</v>
      </c>
    </row>
    <row r="71" spans="2:11" ht="25.5">
      <c r="B71" s="1"/>
      <c r="C71" s="3"/>
      <c r="D71" s="3" t="s">
        <v>112</v>
      </c>
      <c r="E71" s="1"/>
      <c r="F71" s="1">
        <v>882609.2</v>
      </c>
      <c r="G71" s="1">
        <v>344178.5</v>
      </c>
      <c r="H71" s="1">
        <v>538430.8</v>
      </c>
      <c r="I71" s="1">
        <f>H71/H67*C5</f>
        <v>44896.32333534585</v>
      </c>
      <c r="J71" s="30">
        <f>I71/C5/12</f>
        <v>1.050000078004459</v>
      </c>
      <c r="K71" s="7">
        <f>J71*C5*12</f>
        <v>44896.32333534585</v>
      </c>
    </row>
    <row r="72" spans="2:11" ht="12.75">
      <c r="B72" s="1"/>
      <c r="C72" s="3"/>
      <c r="D72" s="3"/>
      <c r="E72" s="1"/>
      <c r="F72" s="1"/>
      <c r="G72" s="1"/>
      <c r="H72" s="1"/>
      <c r="I72" s="1"/>
      <c r="J72" s="30"/>
      <c r="K72" s="7"/>
    </row>
    <row r="73" spans="2:11" ht="12.75">
      <c r="B73" s="1"/>
      <c r="C73" s="4" t="s">
        <v>60</v>
      </c>
      <c r="D73" s="4"/>
      <c r="E73" s="2"/>
      <c r="F73" s="2">
        <v>1334975.3</v>
      </c>
      <c r="G73" s="2">
        <v>660060.9</v>
      </c>
      <c r="H73" s="2">
        <v>674914.3</v>
      </c>
      <c r="I73" s="2">
        <f>SUM(I68:I72)</f>
        <v>56276.82355110618</v>
      </c>
      <c r="J73" s="31">
        <f>SUM(J68:J72)</f>
        <v>1.3161583116090918</v>
      </c>
      <c r="K73" s="6">
        <f>SUM(K68:K72)</f>
        <v>47741.448389285935</v>
      </c>
    </row>
    <row r="74" spans="2:11" ht="12.75">
      <c r="B74" s="1" t="s">
        <v>113</v>
      </c>
      <c r="C74" s="4" t="s">
        <v>484</v>
      </c>
      <c r="D74" s="4"/>
      <c r="E74" s="2">
        <v>15</v>
      </c>
      <c r="F74" s="2">
        <v>1600212</v>
      </c>
      <c r="G74" s="2"/>
      <c r="H74" s="2">
        <v>1600212</v>
      </c>
      <c r="I74" s="2">
        <f>I75+I76</f>
        <v>125282.112</v>
      </c>
      <c r="J74" s="31">
        <f>J75+J76</f>
        <v>2.9299999999999997</v>
      </c>
      <c r="K74" s="6">
        <f>J74*C5*3</f>
        <v>31320.52799999999</v>
      </c>
    </row>
    <row r="75" spans="2:11" ht="12.75">
      <c r="B75" s="1"/>
      <c r="C75" s="3" t="s">
        <v>114</v>
      </c>
      <c r="D75" s="3"/>
      <c r="E75" s="1"/>
      <c r="F75" s="1">
        <v>1431000</v>
      </c>
      <c r="G75" s="1"/>
      <c r="H75" s="1">
        <v>1431000</v>
      </c>
      <c r="I75" s="1">
        <f>2.79*C5*12</f>
        <v>119295.93599999999</v>
      </c>
      <c r="J75" s="30">
        <f>I75/C5/12</f>
        <v>2.7899999999999996</v>
      </c>
      <c r="K75" s="7">
        <f>J75*C5*3</f>
        <v>29823.983999999993</v>
      </c>
    </row>
    <row r="76" spans="2:11" ht="12.75">
      <c r="B76" s="1"/>
      <c r="C76" s="3" t="s">
        <v>115</v>
      </c>
      <c r="D76" s="3"/>
      <c r="E76" s="1"/>
      <c r="F76" s="1">
        <v>169212</v>
      </c>
      <c r="G76" s="1"/>
      <c r="H76" s="1">
        <v>169212</v>
      </c>
      <c r="I76" s="1">
        <f>0.14*C5*12</f>
        <v>5986.176</v>
      </c>
      <c r="J76" s="30">
        <f>I76/C5/12</f>
        <v>0.14</v>
      </c>
      <c r="K76" s="7">
        <f>J76*C5*3</f>
        <v>1496.544</v>
      </c>
    </row>
    <row r="77" spans="2:11" ht="12.75">
      <c r="B77" s="1" t="s">
        <v>116</v>
      </c>
      <c r="C77" s="3" t="s">
        <v>485</v>
      </c>
      <c r="D77" s="3"/>
      <c r="E77" s="1"/>
      <c r="F77" s="1"/>
      <c r="G77" s="1"/>
      <c r="H77" s="1"/>
      <c r="I77" s="1"/>
      <c r="J77" s="1"/>
      <c r="K77" s="7"/>
    </row>
    <row r="78" spans="2:11" ht="12.75">
      <c r="B78" s="1"/>
      <c r="C78" s="3"/>
      <c r="D78" s="3"/>
      <c r="E78" s="1"/>
      <c r="F78" s="1"/>
      <c r="G78" s="1"/>
      <c r="H78" s="1"/>
      <c r="I78" s="1"/>
      <c r="J78" s="1"/>
      <c r="K78" s="7"/>
    </row>
    <row r="79" spans="2:11" ht="12.75">
      <c r="B79" s="2" t="s">
        <v>117</v>
      </c>
      <c r="C79" s="4"/>
      <c r="D79" s="4"/>
      <c r="E79" s="2"/>
      <c r="F79" s="2">
        <v>19547580.6</v>
      </c>
      <c r="G79" s="2">
        <v>11502035</v>
      </c>
      <c r="H79" s="2">
        <v>8045545.6</v>
      </c>
      <c r="I79" s="2">
        <f>I32+I41+I42+I49+I58+I66+I73+I74</f>
        <v>784993.7839915885</v>
      </c>
      <c r="J79" s="31">
        <f>J32+J41+J42+J49+J58+J66+J73+J74</f>
        <v>18.35882034855347</v>
      </c>
      <c r="K79" s="6">
        <f>K32+K41+K42+K49+K58+K66+K73+K74</f>
        <v>229920.68849940653</v>
      </c>
    </row>
    <row r="80" spans="2:11" ht="12.75">
      <c r="B80" s="1"/>
      <c r="C80" s="3" t="s">
        <v>118</v>
      </c>
      <c r="D80" s="3"/>
      <c r="E80" s="1"/>
      <c r="F80" s="1">
        <v>1724360</v>
      </c>
      <c r="G80" s="1">
        <v>1204102.5</v>
      </c>
      <c r="H80" s="1">
        <v>520257.5</v>
      </c>
      <c r="I80" s="1">
        <f>H80/H79*I79</f>
        <v>50760.87115521461</v>
      </c>
      <c r="J80" s="30">
        <f>I80/C5/12</f>
        <v>1.1871555333037394</v>
      </c>
      <c r="K80" s="7">
        <f>J80*C5*3</f>
        <v>12690.21778880365</v>
      </c>
    </row>
    <row r="81" spans="2:11" ht="25.5">
      <c r="B81" s="1"/>
      <c r="C81" s="3" t="s">
        <v>119</v>
      </c>
      <c r="D81" s="3"/>
      <c r="E81" s="1"/>
      <c r="F81" s="1">
        <v>5396925.11</v>
      </c>
      <c r="G81" s="1">
        <v>3223686.7</v>
      </c>
      <c r="H81" s="1">
        <v>2173238.4</v>
      </c>
      <c r="I81" s="1">
        <f>H81/(H79+H80)*(I79+I80)</f>
        <v>212040.1424524678</v>
      </c>
      <c r="J81" s="30">
        <f>I81/C5/12</f>
        <v>4.959028926537658</v>
      </c>
      <c r="K81" s="7">
        <f>J81*C5*3</f>
        <v>53010.035613116954</v>
      </c>
    </row>
    <row r="82" spans="2:11" ht="12.75">
      <c r="B82" s="2" t="s">
        <v>590</v>
      </c>
      <c r="C82" s="4"/>
      <c r="D82" s="4"/>
      <c r="E82" s="2"/>
      <c r="F82" s="2">
        <v>26668865.67</v>
      </c>
      <c r="G82" s="2">
        <v>15929824.3</v>
      </c>
      <c r="H82" s="2">
        <v>10739041.4</v>
      </c>
      <c r="I82" s="2">
        <f>I79+I80+I81</f>
        <v>1047794.7975992709</v>
      </c>
      <c r="J82" s="31">
        <f>J79+J80+J81</f>
        <v>24.505004808394865</v>
      </c>
      <c r="K82" s="6">
        <f>SUM(K79:K81)</f>
        <v>295620.9419013271</v>
      </c>
    </row>
    <row r="83" spans="2:11" ht="12.75">
      <c r="B83" s="1" t="s">
        <v>120</v>
      </c>
      <c r="C83" s="3"/>
      <c r="D83" s="3"/>
      <c r="E83" s="1"/>
      <c r="F83" s="1">
        <v>1333443.28</v>
      </c>
      <c r="G83" s="1">
        <v>796491.2</v>
      </c>
      <c r="H83" s="1">
        <v>536952.07</v>
      </c>
      <c r="I83" s="1"/>
      <c r="J83" s="30"/>
      <c r="K83" s="7"/>
    </row>
    <row r="84" spans="2:11" ht="25.5">
      <c r="B84" s="1"/>
      <c r="C84" s="4" t="s">
        <v>121</v>
      </c>
      <c r="D84" s="4"/>
      <c r="E84" s="2"/>
      <c r="F84" s="2">
        <v>28002308.95</v>
      </c>
      <c r="G84" s="2">
        <v>16726315.5</v>
      </c>
      <c r="H84" s="2">
        <v>11275993.5</v>
      </c>
      <c r="I84" s="2">
        <f>I82+I83</f>
        <v>1047794.7975992709</v>
      </c>
      <c r="J84" s="31">
        <f>J82+J83</f>
        <v>24.505004808394865</v>
      </c>
      <c r="K84" s="6">
        <f>K82+K83</f>
        <v>295620.9419013271</v>
      </c>
    </row>
    <row r="85" spans="2:11" ht="12.75">
      <c r="B85" s="1"/>
      <c r="C85" s="3"/>
      <c r="D85" s="3"/>
      <c r="E85" s="1"/>
      <c r="F85" s="1"/>
      <c r="G85" s="1"/>
      <c r="H85" s="1"/>
      <c r="I85" s="1"/>
      <c r="J85" s="1"/>
      <c r="K85" s="7"/>
    </row>
    <row r="86" spans="2:11" ht="12.75">
      <c r="B86" s="1"/>
      <c r="C86" s="1" t="s">
        <v>514</v>
      </c>
      <c r="D86" s="3"/>
      <c r="E86" s="1"/>
      <c r="F86" s="1"/>
      <c r="G86" s="1"/>
      <c r="H86" s="1"/>
      <c r="I86" s="1"/>
      <c r="J86" s="1">
        <v>20.46</v>
      </c>
      <c r="K86" s="7"/>
    </row>
    <row r="87" spans="2:11" ht="12.75">
      <c r="B87" s="1"/>
      <c r="C87" s="1"/>
      <c r="D87" s="3"/>
      <c r="E87" s="1"/>
      <c r="F87" s="1"/>
      <c r="G87" s="1"/>
      <c r="H87" s="1"/>
      <c r="I87" s="1"/>
      <c r="J87" s="1">
        <v>2.79</v>
      </c>
      <c r="K87" s="7"/>
    </row>
    <row r="88" spans="2:11" ht="12.75">
      <c r="B88" s="1"/>
      <c r="C88" s="1"/>
      <c r="D88" s="3"/>
      <c r="E88" s="1"/>
      <c r="F88" s="1"/>
      <c r="G88" s="1"/>
      <c r="H88" s="1"/>
      <c r="I88" s="1"/>
      <c r="J88" s="1"/>
      <c r="K88" s="1"/>
    </row>
    <row r="89" spans="2:11" ht="12.75">
      <c r="B89" s="1"/>
      <c r="C89" s="1" t="s">
        <v>368</v>
      </c>
      <c r="D89" s="3"/>
      <c r="E89" s="1"/>
      <c r="F89" s="1"/>
      <c r="G89" s="1"/>
      <c r="H89" s="1"/>
      <c r="I89" s="1"/>
      <c r="J89" s="1"/>
      <c r="K89" s="1"/>
    </row>
    <row r="90" spans="2:11" ht="12.75">
      <c r="B90" s="1"/>
      <c r="C90" s="1" t="s">
        <v>369</v>
      </c>
      <c r="D90" s="3"/>
      <c r="E90" s="1"/>
      <c r="F90" s="1"/>
      <c r="G90" s="1"/>
      <c r="H90" s="1"/>
      <c r="I90" s="1"/>
      <c r="J90" s="1"/>
      <c r="K90" s="1"/>
    </row>
    <row r="91" spans="2:11" ht="12.75">
      <c r="B91" s="1"/>
      <c r="C91" s="1" t="s">
        <v>370</v>
      </c>
      <c r="D91" s="3"/>
      <c r="E91" s="1"/>
      <c r="F91" s="1"/>
      <c r="G91" s="1"/>
      <c r="H91" s="1"/>
      <c r="I91" s="1"/>
      <c r="J91" s="1"/>
      <c r="K91" s="1"/>
    </row>
    <row r="92" spans="2:11" ht="12.75">
      <c r="B92" s="1"/>
      <c r="C92" s="1" t="s">
        <v>371</v>
      </c>
      <c r="D92" s="3"/>
      <c r="E92" s="1"/>
      <c r="F92" s="1"/>
      <c r="G92" s="1"/>
      <c r="H92" s="1"/>
      <c r="I92" s="1"/>
      <c r="J92" s="1"/>
      <c r="K92" s="1"/>
    </row>
    <row r="93" spans="2:11" ht="12.75">
      <c r="B93" s="1"/>
      <c r="C93" s="1" t="s">
        <v>372</v>
      </c>
      <c r="D93" s="3"/>
      <c r="E93" s="1"/>
      <c r="F93" s="1"/>
      <c r="G93" s="1"/>
      <c r="H93" s="1"/>
      <c r="I93" s="1"/>
      <c r="J93" s="1"/>
      <c r="K93" s="1"/>
    </row>
    <row r="94" spans="2:11" ht="12.75">
      <c r="B94" s="1"/>
      <c r="C94" s="1" t="s">
        <v>369</v>
      </c>
      <c r="D94" s="3"/>
      <c r="E94" s="1"/>
      <c r="F94" s="1"/>
      <c r="G94" s="1"/>
      <c r="H94" s="1"/>
      <c r="I94" s="1"/>
      <c r="J94" s="1"/>
      <c r="K94" s="1"/>
    </row>
    <row r="95" spans="2:11" ht="12.75">
      <c r="B95" s="1"/>
      <c r="C95" s="1" t="s">
        <v>370</v>
      </c>
      <c r="D95" s="3"/>
      <c r="E95" s="1"/>
      <c r="F95" s="1"/>
      <c r="G95" s="1"/>
      <c r="H95" s="1"/>
      <c r="I95" s="1"/>
      <c r="J95" s="1"/>
      <c r="K95" s="1"/>
    </row>
    <row r="96" spans="2:11" ht="12.75">
      <c r="B96" s="1"/>
      <c r="C96" s="1" t="s">
        <v>371</v>
      </c>
      <c r="D96" s="3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3"/>
      <c r="E97" s="1"/>
      <c r="F97" s="1"/>
      <c r="G97" s="1"/>
      <c r="H97" s="1"/>
      <c r="I97" s="1"/>
      <c r="J97" s="1"/>
      <c r="K97" s="1"/>
    </row>
    <row r="98" spans="2:11" ht="12.75">
      <c r="B98" s="1"/>
      <c r="C98" s="1" t="s">
        <v>374</v>
      </c>
      <c r="D98" s="3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3"/>
      <c r="E99" s="1"/>
      <c r="F99" s="1"/>
      <c r="G99" s="1"/>
      <c r="H99" s="1"/>
      <c r="I99" s="1"/>
      <c r="J99" s="1"/>
      <c r="K99" s="1"/>
    </row>
  </sheetData>
  <mergeCells count="12">
    <mergeCell ref="K14:K17"/>
    <mergeCell ref="I13:K13"/>
    <mergeCell ref="F13:F17"/>
    <mergeCell ref="G13:H13"/>
    <mergeCell ref="G14:G17"/>
    <mergeCell ref="H14:H17"/>
    <mergeCell ref="I14:I17"/>
    <mergeCell ref="J14:J17"/>
    <mergeCell ref="B13:B17"/>
    <mergeCell ref="C13:C17"/>
    <mergeCell ref="D13:D17"/>
    <mergeCell ref="E13:E17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4">
      <pane xSplit="1" ySplit="15" topLeftCell="B78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F96" sqref="F96"/>
    </sheetView>
  </sheetViews>
  <sheetFormatPr defaultColWidth="9.140625" defaultRowHeight="12.75"/>
  <cols>
    <col min="2" max="2" width="10.7109375" style="0" customWidth="1"/>
    <col min="3" max="3" width="29.421875" style="0" customWidth="1"/>
    <col min="4" max="4" width="16.57421875" style="0" customWidth="1"/>
    <col min="5" max="5" width="16.28125" style="0" customWidth="1"/>
    <col min="6" max="6" width="15.57421875" style="0" customWidth="1"/>
    <col min="7" max="7" width="13.28125" style="0" customWidth="1"/>
    <col min="8" max="8" width="14.00390625" style="0" customWidth="1"/>
    <col min="9" max="10" width="12.140625" style="0" customWidth="1"/>
    <col min="11" max="11" width="12.8515625" style="0" customWidth="1"/>
    <col min="12" max="12" width="12.421875" style="0" customWidth="1"/>
    <col min="13" max="13" width="12.8515625" style="0" customWidth="1"/>
    <col min="14" max="14" width="14.421875" style="0" customWidth="1"/>
    <col min="15" max="15" width="12.7109375" style="0" customWidth="1"/>
    <col min="16" max="16" width="11.7109375" style="0" customWidth="1"/>
    <col min="17" max="17" width="10.57421875" style="0" customWidth="1"/>
    <col min="18" max="18" width="14.57421875" style="0" customWidth="1"/>
    <col min="26" max="26" width="10.7109375" style="0" customWidth="1"/>
    <col min="27" max="27" width="11.57421875" style="0" customWidth="1"/>
  </cols>
  <sheetData>
    <row r="4" spans="2:3" ht="12.75">
      <c r="B4" s="5" t="s">
        <v>487</v>
      </c>
      <c r="C4" s="5" t="s">
        <v>542</v>
      </c>
    </row>
    <row r="5" spans="2:3" ht="12.75">
      <c r="B5" t="s">
        <v>488</v>
      </c>
      <c r="C5">
        <v>3140.8</v>
      </c>
    </row>
    <row r="6" spans="2:3" ht="12.75">
      <c r="B6" t="s">
        <v>489</v>
      </c>
      <c r="C6">
        <v>1471</v>
      </c>
    </row>
    <row r="7" spans="2:3" ht="12.75">
      <c r="B7" t="s">
        <v>490</v>
      </c>
      <c r="C7">
        <v>575</v>
      </c>
    </row>
    <row r="8" spans="2:3" ht="12.75">
      <c r="B8" t="s">
        <v>491</v>
      </c>
      <c r="C8">
        <v>435.9</v>
      </c>
    </row>
    <row r="9" spans="2:3" ht="12.75">
      <c r="B9" t="s">
        <v>492</v>
      </c>
      <c r="C9">
        <v>3</v>
      </c>
    </row>
    <row r="10" spans="2:3" ht="12.75">
      <c r="B10" t="s">
        <v>493</v>
      </c>
      <c r="C10">
        <v>24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/>
      <c r="F22" s="2"/>
      <c r="G22" s="2"/>
      <c r="H22" s="2"/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/>
      <c r="F25" s="2"/>
      <c r="G25" s="2"/>
      <c r="H25" s="2"/>
      <c r="I25" s="1"/>
      <c r="J25" s="1"/>
      <c r="K25" s="1"/>
      <c r="L25" s="1"/>
      <c r="M25" s="1"/>
      <c r="N25" s="1"/>
    </row>
    <row r="26" spans="2:14" ht="38.2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38.25">
      <c r="B27" s="1" t="s">
        <v>50</v>
      </c>
      <c r="C27" s="3" t="s">
        <v>26</v>
      </c>
      <c r="D27" s="1" t="s">
        <v>51</v>
      </c>
      <c r="E27" s="1"/>
      <c r="F27" s="1"/>
      <c r="G27" s="1"/>
      <c r="H27" s="1"/>
      <c r="I27" s="1"/>
      <c r="J27" s="30"/>
      <c r="K27" s="42"/>
      <c r="L27" s="7"/>
      <c r="M27" s="1"/>
      <c r="N27" s="1"/>
    </row>
    <row r="28" spans="2:14" ht="38.25">
      <c r="B28" s="1" t="s">
        <v>52</v>
      </c>
      <c r="C28" s="3" t="s">
        <v>27</v>
      </c>
      <c r="D28" s="1" t="s">
        <v>53</v>
      </c>
      <c r="E28" s="1"/>
      <c r="F28" s="1"/>
      <c r="G28" s="1"/>
      <c r="H28" s="1"/>
      <c r="I28" s="1"/>
      <c r="J28" s="30"/>
      <c r="K28" s="42"/>
      <c r="L28" s="7"/>
      <c r="M28" s="1"/>
      <c r="N28" s="1"/>
    </row>
    <row r="29" spans="2:14" ht="12.75">
      <c r="B29" s="1" t="s">
        <v>54</v>
      </c>
      <c r="C29" s="3"/>
      <c r="D29" s="1" t="s">
        <v>536</v>
      </c>
      <c r="E29" s="1"/>
      <c r="F29" s="1"/>
      <c r="G29" s="1"/>
      <c r="H29" s="1"/>
      <c r="I29" s="30"/>
      <c r="J29" s="30"/>
      <c r="K29" s="42"/>
      <c r="L29" s="7"/>
      <c r="M29" s="1"/>
      <c r="N29" s="1"/>
    </row>
    <row r="30" spans="2:14" ht="12.75">
      <c r="B30" s="1" t="s">
        <v>55</v>
      </c>
      <c r="C30" s="3"/>
      <c r="D30" s="1"/>
      <c r="E30" s="1"/>
      <c r="F30" s="1"/>
      <c r="G30" s="1"/>
      <c r="H30" s="1"/>
      <c r="I30" s="1"/>
      <c r="J30" s="1"/>
      <c r="K30" s="1"/>
      <c r="L30" s="7"/>
      <c r="M30" s="1"/>
      <c r="N30" s="1"/>
    </row>
    <row r="31" spans="2:14" ht="25.5">
      <c r="B31" s="1" t="s">
        <v>56</v>
      </c>
      <c r="C31" s="3"/>
      <c r="D31" s="3" t="s">
        <v>58</v>
      </c>
      <c r="E31" s="1"/>
      <c r="F31" s="1"/>
      <c r="G31" s="1"/>
      <c r="H31" s="1"/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/>
      <c r="G33" s="2"/>
      <c r="H33" s="2"/>
      <c r="I33" s="2"/>
      <c r="J33" s="31"/>
      <c r="K33" s="43"/>
      <c r="L33" s="6"/>
      <c r="M33" s="2"/>
      <c r="N33" s="2"/>
    </row>
    <row r="34" spans="2:14" ht="51">
      <c r="B34" s="1" t="s">
        <v>61</v>
      </c>
      <c r="C34" s="4" t="s">
        <v>31</v>
      </c>
      <c r="D34" s="2"/>
      <c r="E34" s="2"/>
      <c r="F34" s="2"/>
      <c r="G34" s="2"/>
      <c r="H34" s="2"/>
      <c r="I34" s="1"/>
      <c r="J34" s="1"/>
      <c r="K34" s="1"/>
      <c r="L34" s="7"/>
      <c r="M34" s="1"/>
      <c r="N34" s="1"/>
    </row>
    <row r="35" spans="2:14" ht="25.5">
      <c r="B35" s="1" t="s">
        <v>62</v>
      </c>
      <c r="C35" s="3" t="s">
        <v>32</v>
      </c>
      <c r="D35" s="1" t="s">
        <v>51</v>
      </c>
      <c r="E35" s="1"/>
      <c r="F35" s="1"/>
      <c r="G35" s="1"/>
      <c r="H35" s="1"/>
      <c r="I35" s="1"/>
      <c r="J35" s="30"/>
      <c r="K35" s="42"/>
      <c r="L35" s="7"/>
      <c r="M35" s="1"/>
      <c r="N35" s="1"/>
    </row>
    <row r="36" spans="2:14" ht="12.75">
      <c r="B36" s="1" t="s">
        <v>63</v>
      </c>
      <c r="C36" s="3" t="s">
        <v>64</v>
      </c>
      <c r="D36" s="1" t="s">
        <v>53</v>
      </c>
      <c r="E36" s="1"/>
      <c r="F36" s="1"/>
      <c r="G36" s="1"/>
      <c r="H36" s="1"/>
      <c r="I36" s="1"/>
      <c r="J36" s="30"/>
      <c r="K36" s="42"/>
      <c r="L36" s="7"/>
      <c r="M36" s="1"/>
      <c r="N36" s="1"/>
    </row>
    <row r="37" spans="2:14" ht="12.75">
      <c r="B37" s="1" t="s">
        <v>65</v>
      </c>
      <c r="C37" s="3" t="s">
        <v>66</v>
      </c>
      <c r="D37" s="1" t="s">
        <v>536</v>
      </c>
      <c r="E37" s="1"/>
      <c r="F37" s="1"/>
      <c r="G37" s="1"/>
      <c r="H37" s="1"/>
      <c r="I37" s="1"/>
      <c r="J37" s="30"/>
      <c r="K37" s="42"/>
      <c r="L37" s="7"/>
      <c r="M37" s="1"/>
      <c r="N37" s="1"/>
    </row>
    <row r="38" spans="2:14" ht="25.5">
      <c r="B38" s="1" t="s">
        <v>67</v>
      </c>
      <c r="C38" s="3" t="s">
        <v>34</v>
      </c>
      <c r="D38" s="1" t="s">
        <v>68</v>
      </c>
      <c r="E38" s="1"/>
      <c r="F38" s="1"/>
      <c r="G38" s="1"/>
      <c r="H38" s="1"/>
      <c r="I38" s="1"/>
      <c r="J38" s="30"/>
      <c r="K38" s="42"/>
      <c r="L38" s="7"/>
      <c r="M38" s="1"/>
      <c r="N38" s="1"/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38.25">
      <c r="B40" s="1" t="s">
        <v>70</v>
      </c>
      <c r="C40" s="4" t="s">
        <v>150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/>
      <c r="G41" s="1"/>
      <c r="H41" s="1"/>
      <c r="I41" s="1"/>
      <c r="J41" s="30"/>
      <c r="K41" s="42"/>
      <c r="L41" s="7"/>
      <c r="M41" s="1"/>
      <c r="N41" s="1"/>
    </row>
    <row r="42" spans="2:14" ht="12.75">
      <c r="B42" s="1"/>
      <c r="C42" s="4" t="s">
        <v>60</v>
      </c>
      <c r="D42" s="2"/>
      <c r="E42" s="2"/>
      <c r="F42" s="2"/>
      <c r="G42" s="2"/>
      <c r="H42" s="2"/>
      <c r="I42" s="2"/>
      <c r="J42" s="31"/>
      <c r="K42" s="43"/>
      <c r="L42" s="6"/>
      <c r="M42" s="2"/>
      <c r="N42" s="2"/>
    </row>
    <row r="43" spans="2:14" ht="25.5">
      <c r="B43" s="1" t="s">
        <v>74</v>
      </c>
      <c r="C43" s="4" t="s">
        <v>37</v>
      </c>
      <c r="D43" s="2"/>
      <c r="E43" s="2"/>
      <c r="F43" s="2"/>
      <c r="G43" s="2"/>
      <c r="H43" s="2"/>
      <c r="I43" s="2"/>
      <c r="J43" s="31"/>
      <c r="K43" s="43"/>
      <c r="L43" s="6"/>
      <c r="M43" s="2"/>
      <c r="N43" s="50"/>
    </row>
    <row r="44" spans="2:14" ht="51">
      <c r="B44" s="1" t="s">
        <v>75</v>
      </c>
      <c r="C44" s="4" t="s">
        <v>38</v>
      </c>
      <c r="D44" s="2"/>
      <c r="E44" s="2"/>
      <c r="F44" s="2"/>
      <c r="G44" s="2"/>
      <c r="H44" s="2"/>
      <c r="I44" s="2"/>
      <c r="J44" s="2"/>
      <c r="K44" s="1"/>
      <c r="L44" s="7"/>
      <c r="M44" s="1"/>
      <c r="N44" s="1"/>
    </row>
    <row r="45" spans="2:14" ht="63.75">
      <c r="B45" s="1" t="s">
        <v>76</v>
      </c>
      <c r="C45" s="3" t="s">
        <v>204</v>
      </c>
      <c r="D45" s="1" t="s">
        <v>51</v>
      </c>
      <c r="E45" s="1"/>
      <c r="F45" s="1"/>
      <c r="G45" s="1"/>
      <c r="H45" s="1"/>
      <c r="I45" s="1"/>
      <c r="J45" s="30"/>
      <c r="K45" s="42"/>
      <c r="L45" s="7"/>
      <c r="M45" s="1"/>
      <c r="N45" s="1"/>
    </row>
    <row r="46" spans="2:14" ht="63.75">
      <c r="B46" s="1" t="s">
        <v>78</v>
      </c>
      <c r="C46" s="3" t="s">
        <v>388</v>
      </c>
      <c r="D46" s="1" t="s">
        <v>53</v>
      </c>
      <c r="E46" s="1"/>
      <c r="F46" s="1"/>
      <c r="G46" s="1"/>
      <c r="H46" s="1"/>
      <c r="I46" s="1"/>
      <c r="J46" s="30"/>
      <c r="K46" s="42"/>
      <c r="L46" s="7"/>
      <c r="M46" s="1"/>
      <c r="N46" s="1"/>
    </row>
    <row r="47" spans="2:14" ht="102">
      <c r="B47" s="1" t="s">
        <v>80</v>
      </c>
      <c r="C47" s="29" t="s">
        <v>129</v>
      </c>
      <c r="D47" s="1" t="s">
        <v>536</v>
      </c>
      <c r="E47" s="1"/>
      <c r="F47" s="1"/>
      <c r="G47" s="1"/>
      <c r="H47" s="1"/>
      <c r="I47" s="1"/>
      <c r="J47" s="30"/>
      <c r="K47" s="42"/>
      <c r="L47" s="7"/>
      <c r="M47" s="1"/>
      <c r="N47" s="1"/>
    </row>
    <row r="48" spans="2:14" ht="12.75">
      <c r="B48" s="1"/>
      <c r="C48" s="3"/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25.5">
      <c r="B49" s="1"/>
      <c r="C49" s="4" t="s">
        <v>246</v>
      </c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/>
      <c r="G50" s="2"/>
      <c r="H50" s="2"/>
      <c r="I50" s="2"/>
      <c r="J50" s="31"/>
      <c r="K50" s="43"/>
      <c r="L50" s="6"/>
      <c r="M50" s="2"/>
      <c r="N50" s="2"/>
    </row>
    <row r="51" spans="2:14" ht="51">
      <c r="B51" s="1" t="s">
        <v>81</v>
      </c>
      <c r="C51" s="4" t="s">
        <v>39</v>
      </c>
      <c r="D51" s="2"/>
      <c r="E51" s="2"/>
      <c r="F51" s="2"/>
      <c r="G51" s="2"/>
      <c r="H51" s="2"/>
      <c r="I51" s="1"/>
      <c r="J51" s="1"/>
      <c r="K51" s="1"/>
      <c r="L51" s="7"/>
      <c r="M51" s="1"/>
      <c r="N51" s="1"/>
    </row>
    <row r="52" spans="2:14" ht="38.25">
      <c r="B52" s="1" t="s">
        <v>82</v>
      </c>
      <c r="C52" s="3" t="s">
        <v>83</v>
      </c>
      <c r="D52" s="1" t="s">
        <v>51</v>
      </c>
      <c r="E52" s="1"/>
      <c r="F52" s="1"/>
      <c r="G52" s="1"/>
      <c r="H52" s="1"/>
      <c r="I52" s="1"/>
      <c r="J52" s="30"/>
      <c r="K52" s="42"/>
      <c r="L52" s="7"/>
      <c r="M52" s="1"/>
      <c r="N52" s="1"/>
    </row>
    <row r="53" spans="2:14" ht="38.25">
      <c r="B53" s="1" t="s">
        <v>84</v>
      </c>
      <c r="C53" s="3" t="s">
        <v>387</v>
      </c>
      <c r="D53" s="1" t="s">
        <v>53</v>
      </c>
      <c r="E53" s="1"/>
      <c r="F53" s="1"/>
      <c r="G53" s="1"/>
      <c r="H53" s="1"/>
      <c r="I53" s="1"/>
      <c r="J53" s="30"/>
      <c r="K53" s="42"/>
      <c r="L53" s="7"/>
      <c r="M53" s="1"/>
      <c r="N53" s="1"/>
    </row>
    <row r="54" spans="2:14" ht="51">
      <c r="B54" s="1" t="s">
        <v>86</v>
      </c>
      <c r="C54" s="3" t="s">
        <v>386</v>
      </c>
      <c r="D54" s="1" t="s">
        <v>536</v>
      </c>
      <c r="E54" s="1"/>
      <c r="F54" s="1"/>
      <c r="G54" s="1"/>
      <c r="H54" s="1"/>
      <c r="I54" s="1"/>
      <c r="J54" s="30"/>
      <c r="K54" s="42"/>
      <c r="L54" s="7"/>
      <c r="M54" s="1"/>
      <c r="N54" s="1"/>
    </row>
    <row r="55" spans="2:14" ht="51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51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76.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3"/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/>
      <c r="G59" s="2"/>
      <c r="H59" s="2"/>
      <c r="I59" s="2"/>
      <c r="J59" s="31"/>
      <c r="K59" s="43"/>
      <c r="L59" s="6"/>
      <c r="M59" s="2"/>
      <c r="N59" s="2"/>
    </row>
    <row r="60" spans="2:14" ht="51">
      <c r="B60" s="1" t="s">
        <v>95</v>
      </c>
      <c r="C60" s="4" t="s">
        <v>481</v>
      </c>
      <c r="D60" s="2"/>
      <c r="E60" s="2"/>
      <c r="F60" s="2"/>
      <c r="G60" s="2"/>
      <c r="H60" s="2"/>
      <c r="I60" s="1"/>
      <c r="J60" s="1"/>
      <c r="K60" s="1"/>
      <c r="L60" s="7"/>
      <c r="M60" s="1"/>
      <c r="N60" s="1"/>
    </row>
    <row r="61" spans="2:14" ht="25.5">
      <c r="B61" s="1" t="s">
        <v>96</v>
      </c>
      <c r="C61" s="3" t="s">
        <v>97</v>
      </c>
      <c r="D61" s="1" t="s">
        <v>51</v>
      </c>
      <c r="E61" s="1"/>
      <c r="F61" s="1"/>
      <c r="G61" s="1"/>
      <c r="H61" s="1"/>
      <c r="I61" s="1"/>
      <c r="J61" s="30"/>
      <c r="K61" s="42"/>
      <c r="L61" s="7"/>
      <c r="M61" s="1"/>
      <c r="N61" s="1"/>
    </row>
    <row r="62" spans="2:14" ht="38.25">
      <c r="B62" s="1" t="s">
        <v>98</v>
      </c>
      <c r="C62" s="3" t="s">
        <v>357</v>
      </c>
      <c r="D62" s="1" t="s">
        <v>53</v>
      </c>
      <c r="E62" s="1"/>
      <c r="F62" s="1"/>
      <c r="G62" s="1"/>
      <c r="H62" s="1"/>
      <c r="I62" s="1"/>
      <c r="J62" s="30"/>
      <c r="K62" s="42"/>
      <c r="L62" s="7"/>
      <c r="M62" s="1"/>
      <c r="N62" s="1"/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/>
      <c r="G63" s="1"/>
      <c r="H63" s="1"/>
      <c r="I63" s="1"/>
      <c r="J63" s="30"/>
      <c r="K63" s="42"/>
      <c r="L63" s="7"/>
      <c r="M63" s="1"/>
      <c r="N63" s="1"/>
    </row>
    <row r="64" spans="2:14" ht="38.25">
      <c r="B64" s="1" t="s">
        <v>102</v>
      </c>
      <c r="C64" s="3" t="s">
        <v>209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51">
      <c r="B65" s="1" t="s">
        <v>104</v>
      </c>
      <c r="C65" s="4" t="s">
        <v>392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63.75">
      <c r="B66" s="1" t="s">
        <v>105</v>
      </c>
      <c r="C66" s="3" t="s">
        <v>106</v>
      </c>
      <c r="D66" s="1" t="s">
        <v>107</v>
      </c>
      <c r="E66" s="1"/>
      <c r="F66" s="1"/>
      <c r="G66" s="1"/>
      <c r="H66" s="1"/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2"/>
      <c r="E67" s="2"/>
      <c r="F67" s="2"/>
      <c r="G67" s="2"/>
      <c r="H67" s="2"/>
      <c r="I67" s="2"/>
      <c r="J67" s="31"/>
      <c r="K67" s="43"/>
      <c r="L67" s="6"/>
      <c r="M67" s="2"/>
      <c r="N67" s="2"/>
    </row>
    <row r="68" spans="2:14" ht="12.75">
      <c r="B68" s="1" t="s">
        <v>109</v>
      </c>
      <c r="C68" s="4" t="s">
        <v>482</v>
      </c>
      <c r="D68" s="2"/>
      <c r="E68" s="2"/>
      <c r="F68" s="2"/>
      <c r="G68" s="2"/>
      <c r="H68" s="2"/>
      <c r="I68" s="2"/>
      <c r="J68" s="1"/>
      <c r="K68" s="1"/>
      <c r="L68" s="7"/>
      <c r="M68" s="1"/>
      <c r="N68" s="1"/>
    </row>
    <row r="69" spans="2:14" ht="89.25">
      <c r="B69" s="1" t="s">
        <v>110</v>
      </c>
      <c r="C69" s="3" t="s">
        <v>483</v>
      </c>
      <c r="D69" s="1" t="s">
        <v>111</v>
      </c>
      <c r="E69" s="1"/>
      <c r="F69" s="1"/>
      <c r="G69" s="1"/>
      <c r="H69" s="1"/>
      <c r="I69" s="1"/>
      <c r="J69" s="30"/>
      <c r="K69" s="42"/>
      <c r="L69" s="7"/>
      <c r="M69" s="1"/>
      <c r="N69" s="1"/>
    </row>
    <row r="70" spans="2:14" ht="12.75">
      <c r="B70" s="1"/>
      <c r="C70" s="3"/>
      <c r="D70" s="1" t="s">
        <v>53</v>
      </c>
      <c r="E70" s="1"/>
      <c r="F70" s="1"/>
      <c r="G70" s="1"/>
      <c r="H70" s="1"/>
      <c r="I70" s="1"/>
      <c r="J70" s="30"/>
      <c r="K70" s="42"/>
      <c r="L70" s="7"/>
      <c r="M70" s="1"/>
      <c r="N70" s="1"/>
    </row>
    <row r="71" spans="2:14" ht="12.75">
      <c r="B71" s="1"/>
      <c r="C71" s="3"/>
      <c r="D71" s="1" t="s">
        <v>536</v>
      </c>
      <c r="E71" s="1"/>
      <c r="F71" s="1"/>
      <c r="G71" s="1"/>
      <c r="H71" s="1"/>
      <c r="I71" s="1"/>
      <c r="J71" s="30"/>
      <c r="K71" s="42"/>
      <c r="L71" s="7"/>
      <c r="M71" s="1"/>
      <c r="N71" s="1"/>
    </row>
    <row r="72" spans="2:14" ht="12.75">
      <c r="B72" s="1"/>
      <c r="C72" s="3"/>
      <c r="D72" s="1" t="s">
        <v>112</v>
      </c>
      <c r="E72" s="1"/>
      <c r="F72" s="1"/>
      <c r="G72" s="1"/>
      <c r="H72" s="1"/>
      <c r="I72" s="1"/>
      <c r="J72" s="30"/>
      <c r="K72" s="42"/>
      <c r="L72" s="7"/>
      <c r="M72" s="1"/>
      <c r="N72" s="1"/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/>
      <c r="G74" s="2"/>
      <c r="H74" s="2"/>
      <c r="I74" s="2"/>
      <c r="J74" s="31"/>
      <c r="K74" s="43"/>
      <c r="L74" s="6"/>
      <c r="M74" s="2"/>
      <c r="N74" s="2"/>
    </row>
    <row r="75" spans="2:14" ht="12.75">
      <c r="B75" s="1" t="s">
        <v>113</v>
      </c>
      <c r="C75" s="4" t="s">
        <v>484</v>
      </c>
      <c r="D75" s="2"/>
      <c r="E75" s="2"/>
      <c r="F75" s="2"/>
      <c r="G75" s="2"/>
      <c r="H75" s="2"/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/>
      <c r="G76" s="1"/>
      <c r="H76" s="1"/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/>
      <c r="G77" s="1"/>
      <c r="H77" s="1"/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/>
      <c r="G80" s="2"/>
      <c r="H80" s="2"/>
      <c r="I80" s="2"/>
      <c r="J80" s="31"/>
      <c r="K80" s="43"/>
      <c r="L80" s="6"/>
      <c r="M80" s="2"/>
      <c r="N80" s="2"/>
    </row>
    <row r="81" spans="2:14" ht="12.75">
      <c r="B81" s="1"/>
      <c r="C81" s="3" t="s">
        <v>118</v>
      </c>
      <c r="D81" s="1"/>
      <c r="E81" s="1"/>
      <c r="F81" s="1"/>
      <c r="G81" s="1"/>
      <c r="H81" s="1"/>
      <c r="I81" s="1"/>
      <c r="J81" s="30"/>
      <c r="K81" s="42"/>
      <c r="L81" s="7"/>
      <c r="M81" s="1"/>
      <c r="N81" s="1"/>
    </row>
    <row r="82" spans="2:14" ht="25.5">
      <c r="B82" s="1"/>
      <c r="C82" s="3" t="s">
        <v>119</v>
      </c>
      <c r="D82" s="1"/>
      <c r="E82" s="1"/>
      <c r="F82" s="1"/>
      <c r="G82" s="1"/>
      <c r="H82" s="1"/>
      <c r="I82" s="1"/>
      <c r="J82" s="30"/>
      <c r="K82" s="42"/>
      <c r="L82" s="7"/>
      <c r="M82" s="1"/>
      <c r="N82" s="1"/>
    </row>
    <row r="83" spans="2:14" ht="12.75">
      <c r="B83" s="2" t="s">
        <v>590</v>
      </c>
      <c r="C83" s="4"/>
      <c r="D83" s="2"/>
      <c r="E83" s="2"/>
      <c r="F83" s="2"/>
      <c r="G83" s="2"/>
      <c r="H83" s="2"/>
      <c r="I83" s="2"/>
      <c r="J83" s="31"/>
      <c r="K83" s="43"/>
      <c r="L83" s="6"/>
      <c r="M83" s="2"/>
      <c r="N83" s="2"/>
    </row>
    <row r="84" spans="2:14" ht="12.75">
      <c r="B84" s="1" t="s">
        <v>120</v>
      </c>
      <c r="C84" s="3"/>
      <c r="D84" s="1"/>
      <c r="E84" s="1"/>
      <c r="F84" s="1"/>
      <c r="G84" s="1"/>
      <c r="H84" s="1"/>
      <c r="I84" s="1"/>
      <c r="J84" s="30"/>
      <c r="K84" s="42"/>
      <c r="L84" s="7"/>
      <c r="M84" s="1"/>
      <c r="N84" s="1"/>
    </row>
    <row r="85" spans="2:14" ht="25.5">
      <c r="B85" s="1"/>
      <c r="C85" s="4" t="s">
        <v>121</v>
      </c>
      <c r="D85" s="2"/>
      <c r="E85" s="2"/>
      <c r="F85" s="2"/>
      <c r="G85" s="2"/>
      <c r="H85" s="2"/>
      <c r="I85" s="2"/>
      <c r="J85" s="31"/>
      <c r="K85" s="43"/>
      <c r="L85" s="6"/>
      <c r="M85" s="2"/>
      <c r="N85" s="2"/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/>
      <c r="M86" s="2"/>
      <c r="N86" s="2"/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4:N103"/>
  <sheetViews>
    <sheetView workbookViewId="0" topLeftCell="A4">
      <pane xSplit="1" ySplit="15" topLeftCell="C83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M105" sqref="M105"/>
    </sheetView>
  </sheetViews>
  <sheetFormatPr defaultColWidth="9.140625" defaultRowHeight="12.75"/>
  <cols>
    <col min="2" max="2" width="10.7109375" style="0" customWidth="1"/>
    <col min="3" max="3" width="34.28125" style="0" customWidth="1"/>
    <col min="4" max="4" width="16.7109375" style="0" customWidth="1"/>
    <col min="5" max="5" width="13.421875" style="0" customWidth="1"/>
    <col min="6" max="6" width="15.421875" style="0" customWidth="1"/>
    <col min="7" max="7" width="13.28125" style="0" customWidth="1"/>
    <col min="8" max="8" width="14.28125" style="0" customWidth="1"/>
    <col min="9" max="9" width="13.421875" style="0" customWidth="1"/>
    <col min="10" max="10" width="12.7109375" style="0" customWidth="1"/>
    <col min="11" max="11" width="14.140625" style="0" customWidth="1"/>
    <col min="12" max="12" width="12.421875" style="0" customWidth="1"/>
    <col min="13" max="13" width="12.7109375" style="0" customWidth="1"/>
    <col min="14" max="14" width="13.7109375" style="0" customWidth="1"/>
    <col min="15" max="15" width="13.421875" style="0" customWidth="1"/>
    <col min="16" max="16" width="11.28125" style="0" customWidth="1"/>
    <col min="17" max="17" width="11.7109375" style="0" customWidth="1"/>
    <col min="18" max="18" width="13.7109375" style="0" customWidth="1"/>
  </cols>
  <sheetData>
    <row r="4" spans="2:3" ht="12.75">
      <c r="B4" s="5" t="s">
        <v>487</v>
      </c>
      <c r="C4" s="5" t="s">
        <v>543</v>
      </c>
    </row>
    <row r="5" spans="2:3" ht="12.75">
      <c r="B5" t="s">
        <v>488</v>
      </c>
      <c r="C5">
        <v>3327.6</v>
      </c>
    </row>
    <row r="6" spans="2:3" ht="12.75">
      <c r="B6" t="s">
        <v>489</v>
      </c>
      <c r="C6">
        <v>1471</v>
      </c>
    </row>
    <row r="7" spans="2:3" ht="12.75">
      <c r="B7" t="s">
        <v>490</v>
      </c>
      <c r="C7">
        <v>575</v>
      </c>
    </row>
    <row r="8" spans="2:3" ht="12.75">
      <c r="B8" t="s">
        <v>491</v>
      </c>
      <c r="C8">
        <v>366.6</v>
      </c>
    </row>
    <row r="9" spans="2:3" ht="12.75">
      <c r="B9" t="s">
        <v>492</v>
      </c>
      <c r="C9">
        <v>3</v>
      </c>
    </row>
    <row r="10" spans="2:3" ht="12.75">
      <c r="B10" t="s">
        <v>493</v>
      </c>
      <c r="C10">
        <v>24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/>
      <c r="F22" s="2"/>
      <c r="G22" s="2"/>
      <c r="H22" s="2"/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/>
      <c r="F25" s="2"/>
      <c r="G25" s="2"/>
      <c r="H25" s="2"/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/>
      <c r="G27" s="1"/>
      <c r="H27" s="1"/>
      <c r="I27" s="1"/>
      <c r="J27" s="30"/>
      <c r="K27" s="42"/>
      <c r="L27" s="7"/>
      <c r="M27" s="1"/>
      <c r="N27" s="1"/>
    </row>
    <row r="28" spans="2:14" ht="25.5">
      <c r="B28" s="1" t="s">
        <v>52</v>
      </c>
      <c r="C28" s="3" t="s">
        <v>27</v>
      </c>
      <c r="D28" s="1" t="s">
        <v>53</v>
      </c>
      <c r="E28" s="1"/>
      <c r="F28" s="1"/>
      <c r="G28" s="1"/>
      <c r="H28" s="1"/>
      <c r="I28" s="1"/>
      <c r="J28" s="30"/>
      <c r="K28" s="42"/>
      <c r="L28" s="7"/>
      <c r="M28" s="1"/>
      <c r="N28" s="1"/>
    </row>
    <row r="29" spans="2:14" ht="12.75">
      <c r="B29" s="1" t="s">
        <v>54</v>
      </c>
      <c r="C29" s="3"/>
      <c r="D29" s="1" t="s">
        <v>536</v>
      </c>
      <c r="E29" s="1"/>
      <c r="F29" s="1"/>
      <c r="G29" s="1"/>
      <c r="H29" s="1"/>
      <c r="I29" s="30"/>
      <c r="J29" s="30"/>
      <c r="K29" s="42"/>
      <c r="L29" s="7"/>
      <c r="M29" s="1"/>
      <c r="N29" s="1"/>
    </row>
    <row r="30" spans="2:14" ht="12.75">
      <c r="B30" s="1" t="s">
        <v>55</v>
      </c>
      <c r="C30" s="3"/>
      <c r="D30" s="1"/>
      <c r="E30" s="1"/>
      <c r="F30" s="1"/>
      <c r="G30" s="1"/>
      <c r="H30" s="1"/>
      <c r="I30" s="1"/>
      <c r="J30" s="1"/>
      <c r="K30" s="1"/>
      <c r="L30" s="7"/>
      <c r="M30" s="1"/>
      <c r="N30" s="1"/>
    </row>
    <row r="31" spans="2:14" ht="25.5">
      <c r="B31" s="1" t="s">
        <v>56</v>
      </c>
      <c r="C31" s="3"/>
      <c r="D31" s="3" t="s">
        <v>58</v>
      </c>
      <c r="E31" s="1"/>
      <c r="F31" s="1"/>
      <c r="G31" s="1"/>
      <c r="H31" s="1"/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/>
      <c r="G33" s="2"/>
      <c r="H33" s="2"/>
      <c r="I33" s="2"/>
      <c r="J33" s="31"/>
      <c r="K33" s="43"/>
      <c r="L33" s="6"/>
      <c r="M33" s="2"/>
      <c r="N33" s="2"/>
    </row>
    <row r="34" spans="2:14" ht="51">
      <c r="B34" s="1" t="s">
        <v>61</v>
      </c>
      <c r="C34" s="4" t="s">
        <v>31</v>
      </c>
      <c r="D34" s="2"/>
      <c r="E34" s="2"/>
      <c r="F34" s="2"/>
      <c r="G34" s="2"/>
      <c r="H34" s="2"/>
      <c r="I34" s="1"/>
      <c r="J34" s="1"/>
      <c r="K34" s="1"/>
      <c r="L34" s="7"/>
      <c r="M34" s="1"/>
      <c r="N34" s="1"/>
    </row>
    <row r="35" spans="2:14" ht="25.5">
      <c r="B35" s="1" t="s">
        <v>62</v>
      </c>
      <c r="C35" s="3" t="s">
        <v>32</v>
      </c>
      <c r="D35" s="1" t="s">
        <v>51</v>
      </c>
      <c r="E35" s="1"/>
      <c r="F35" s="1"/>
      <c r="G35" s="1"/>
      <c r="H35" s="1"/>
      <c r="I35" s="1"/>
      <c r="J35" s="30"/>
      <c r="K35" s="42"/>
      <c r="L35" s="7"/>
      <c r="M35" s="1"/>
      <c r="N35" s="1"/>
    </row>
    <row r="36" spans="2:14" ht="12.75">
      <c r="B36" s="1" t="s">
        <v>63</v>
      </c>
      <c r="C36" s="3" t="s">
        <v>64</v>
      </c>
      <c r="D36" s="1" t="s">
        <v>53</v>
      </c>
      <c r="E36" s="1"/>
      <c r="F36" s="1"/>
      <c r="G36" s="1"/>
      <c r="H36" s="1"/>
      <c r="I36" s="1"/>
      <c r="J36" s="30"/>
      <c r="K36" s="42"/>
      <c r="L36" s="7"/>
      <c r="M36" s="1"/>
      <c r="N36" s="1"/>
    </row>
    <row r="37" spans="2:14" ht="12.75">
      <c r="B37" s="1" t="s">
        <v>65</v>
      </c>
      <c r="C37" s="3" t="s">
        <v>66</v>
      </c>
      <c r="D37" s="1" t="s">
        <v>536</v>
      </c>
      <c r="E37" s="1"/>
      <c r="F37" s="1"/>
      <c r="G37" s="1"/>
      <c r="H37" s="1"/>
      <c r="I37" s="1"/>
      <c r="J37" s="30"/>
      <c r="K37" s="42"/>
      <c r="L37" s="7"/>
      <c r="M37" s="1"/>
      <c r="N37" s="1"/>
    </row>
    <row r="38" spans="2:14" ht="25.5">
      <c r="B38" s="1" t="s">
        <v>67</v>
      </c>
      <c r="C38" s="3" t="s">
        <v>34</v>
      </c>
      <c r="D38" s="1" t="s">
        <v>68</v>
      </c>
      <c r="E38" s="1"/>
      <c r="F38" s="1"/>
      <c r="G38" s="1"/>
      <c r="H38" s="1"/>
      <c r="I38" s="1"/>
      <c r="J38" s="30"/>
      <c r="K38" s="42"/>
      <c r="L38" s="7"/>
      <c r="M38" s="1"/>
      <c r="N38" s="1"/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25.5">
      <c r="B40" s="1" t="s">
        <v>70</v>
      </c>
      <c r="C40" s="4" t="s">
        <v>149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/>
      <c r="G41" s="1"/>
      <c r="H41" s="1"/>
      <c r="I41" s="1"/>
      <c r="J41" s="30"/>
      <c r="K41" s="42"/>
      <c r="L41" s="7"/>
      <c r="M41" s="1"/>
      <c r="N41" s="1"/>
    </row>
    <row r="42" spans="2:14" ht="12.75">
      <c r="B42" s="1"/>
      <c r="C42" s="4" t="s">
        <v>60</v>
      </c>
      <c r="D42" s="2"/>
      <c r="E42" s="2"/>
      <c r="F42" s="2"/>
      <c r="G42" s="2"/>
      <c r="H42" s="2"/>
      <c r="I42" s="2"/>
      <c r="J42" s="31"/>
      <c r="K42" s="43"/>
      <c r="L42" s="6"/>
      <c r="M42" s="2"/>
      <c r="N42" s="2"/>
    </row>
    <row r="43" spans="2:14" ht="12.75">
      <c r="B43" s="1" t="s">
        <v>74</v>
      </c>
      <c r="C43" s="4" t="s">
        <v>37</v>
      </c>
      <c r="D43" s="2"/>
      <c r="E43" s="2"/>
      <c r="F43" s="2"/>
      <c r="G43" s="2"/>
      <c r="H43" s="2"/>
      <c r="I43" s="2"/>
      <c r="J43" s="31"/>
      <c r="K43" s="43"/>
      <c r="L43" s="6"/>
      <c r="M43" s="2"/>
      <c r="N43" s="50"/>
    </row>
    <row r="44" spans="2:14" ht="38.25">
      <c r="B44" s="1" t="s">
        <v>75</v>
      </c>
      <c r="C44" s="4" t="s">
        <v>38</v>
      </c>
      <c r="D44" s="2"/>
      <c r="E44" s="2"/>
      <c r="F44" s="2"/>
      <c r="G44" s="2"/>
      <c r="H44" s="2"/>
      <c r="I44" s="2"/>
      <c r="J44" s="2"/>
      <c r="K44" s="1"/>
      <c r="L44" s="7"/>
      <c r="M44" s="1"/>
      <c r="N44" s="1"/>
    </row>
    <row r="45" spans="2:14" ht="76.5">
      <c r="B45" s="1" t="s">
        <v>76</v>
      </c>
      <c r="C45" s="3" t="s">
        <v>470</v>
      </c>
      <c r="D45" s="1" t="s">
        <v>51</v>
      </c>
      <c r="E45" s="1"/>
      <c r="F45" s="1"/>
      <c r="G45" s="1"/>
      <c r="H45" s="1"/>
      <c r="I45" s="1"/>
      <c r="J45" s="30"/>
      <c r="K45" s="42"/>
      <c r="L45" s="7"/>
      <c r="M45" s="1"/>
      <c r="N45" s="1"/>
    </row>
    <row r="46" spans="2:14" ht="51">
      <c r="B46" s="1" t="s">
        <v>78</v>
      </c>
      <c r="C46" s="3" t="s">
        <v>79</v>
      </c>
      <c r="D46" s="1" t="s">
        <v>53</v>
      </c>
      <c r="E46" s="1"/>
      <c r="F46" s="1"/>
      <c r="G46" s="1"/>
      <c r="H46" s="1"/>
      <c r="I46" s="1"/>
      <c r="J46" s="30"/>
      <c r="K46" s="42"/>
      <c r="L46" s="7"/>
      <c r="M46" s="1"/>
      <c r="N46" s="1"/>
    </row>
    <row r="47" spans="2:14" ht="89.25">
      <c r="B47" s="1" t="s">
        <v>80</v>
      </c>
      <c r="C47" s="29" t="s">
        <v>129</v>
      </c>
      <c r="D47" s="1" t="s">
        <v>536</v>
      </c>
      <c r="E47" s="1"/>
      <c r="F47" s="1"/>
      <c r="G47" s="1"/>
      <c r="H47" s="1"/>
      <c r="I47" s="1"/>
      <c r="J47" s="30"/>
      <c r="K47" s="42"/>
      <c r="L47" s="7"/>
      <c r="M47" s="1"/>
      <c r="N47" s="1"/>
    </row>
    <row r="48" spans="2:14" ht="12.75">
      <c r="B48" s="1"/>
      <c r="C48" s="3"/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3"/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/>
      <c r="G50" s="2"/>
      <c r="H50" s="2"/>
      <c r="I50" s="2"/>
      <c r="J50" s="31"/>
      <c r="K50" s="43"/>
      <c r="L50" s="6"/>
      <c r="M50" s="2"/>
      <c r="N50" s="2"/>
    </row>
    <row r="51" spans="2:14" ht="38.25">
      <c r="B51" s="1" t="s">
        <v>81</v>
      </c>
      <c r="C51" s="4" t="s">
        <v>39</v>
      </c>
      <c r="D51" s="2"/>
      <c r="E51" s="2"/>
      <c r="F51" s="2"/>
      <c r="G51" s="2"/>
      <c r="H51" s="2"/>
      <c r="I51" s="1"/>
      <c r="J51" s="1"/>
      <c r="K51" s="1"/>
      <c r="L51" s="7"/>
      <c r="M51" s="1"/>
      <c r="N51" s="1"/>
    </row>
    <row r="52" spans="2:14" ht="25.5">
      <c r="B52" s="1" t="s">
        <v>82</v>
      </c>
      <c r="C52" s="3" t="s">
        <v>83</v>
      </c>
      <c r="D52" s="1" t="s">
        <v>51</v>
      </c>
      <c r="E52" s="1"/>
      <c r="F52" s="1"/>
      <c r="G52" s="1"/>
      <c r="H52" s="1"/>
      <c r="I52" s="1"/>
      <c r="J52" s="30"/>
      <c r="K52" s="42"/>
      <c r="L52" s="7"/>
      <c r="M52" s="1"/>
      <c r="N52" s="1"/>
    </row>
    <row r="53" spans="2:14" ht="38.25">
      <c r="B53" s="1" t="s">
        <v>84</v>
      </c>
      <c r="C53" s="3" t="s">
        <v>85</v>
      </c>
      <c r="D53" s="1" t="s">
        <v>53</v>
      </c>
      <c r="E53" s="1"/>
      <c r="F53" s="1"/>
      <c r="G53" s="1"/>
      <c r="H53" s="1"/>
      <c r="I53" s="1"/>
      <c r="J53" s="30"/>
      <c r="K53" s="42"/>
      <c r="L53" s="7"/>
      <c r="M53" s="1"/>
      <c r="N53" s="1"/>
    </row>
    <row r="54" spans="2:14" ht="51">
      <c r="B54" s="1" t="s">
        <v>86</v>
      </c>
      <c r="C54" s="3" t="s">
        <v>386</v>
      </c>
      <c r="D54" s="1" t="s">
        <v>536</v>
      </c>
      <c r="E54" s="1"/>
      <c r="F54" s="1"/>
      <c r="G54" s="1"/>
      <c r="H54" s="1"/>
      <c r="I54" s="1"/>
      <c r="J54" s="30"/>
      <c r="K54" s="42"/>
      <c r="L54" s="7"/>
      <c r="M54" s="1"/>
      <c r="N54" s="1"/>
    </row>
    <row r="55" spans="2:14" ht="38.2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38.2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63.7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25.5">
      <c r="B58" s="1" t="s">
        <v>93</v>
      </c>
      <c r="C58" s="3" t="s">
        <v>94</v>
      </c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/>
      <c r="G59" s="2"/>
      <c r="H59" s="2"/>
      <c r="I59" s="2"/>
      <c r="J59" s="31"/>
      <c r="K59" s="43"/>
      <c r="L59" s="6"/>
      <c r="M59" s="2"/>
      <c r="N59" s="2"/>
    </row>
    <row r="60" spans="2:14" ht="38.25">
      <c r="B60" s="1" t="s">
        <v>95</v>
      </c>
      <c r="C60" s="4" t="s">
        <v>481</v>
      </c>
      <c r="D60" s="2"/>
      <c r="E60" s="2"/>
      <c r="F60" s="2"/>
      <c r="G60" s="2"/>
      <c r="H60" s="2"/>
      <c r="I60" s="1"/>
      <c r="J60" s="1"/>
      <c r="K60" s="1"/>
      <c r="L60" s="7"/>
      <c r="M60" s="1"/>
      <c r="N60" s="1"/>
    </row>
    <row r="61" spans="2:14" ht="63.75">
      <c r="B61" s="1" t="s">
        <v>96</v>
      </c>
      <c r="C61" s="4" t="s">
        <v>355</v>
      </c>
      <c r="D61" s="1" t="s">
        <v>51</v>
      </c>
      <c r="E61" s="1"/>
      <c r="F61" s="1"/>
      <c r="G61" s="1"/>
      <c r="H61" s="1"/>
      <c r="I61" s="1"/>
      <c r="J61" s="30"/>
      <c r="K61" s="42"/>
      <c r="L61" s="7"/>
      <c r="M61" s="1"/>
      <c r="N61" s="1"/>
    </row>
    <row r="62" spans="2:14" ht="38.25">
      <c r="B62" s="1" t="s">
        <v>98</v>
      </c>
      <c r="C62" s="3" t="s">
        <v>356</v>
      </c>
      <c r="D62" s="1" t="s">
        <v>53</v>
      </c>
      <c r="E62" s="1"/>
      <c r="F62" s="1"/>
      <c r="G62" s="1"/>
      <c r="H62" s="1"/>
      <c r="I62" s="1"/>
      <c r="J62" s="30"/>
      <c r="K62" s="42"/>
      <c r="L62" s="7"/>
      <c r="M62" s="1"/>
      <c r="N62" s="1"/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/>
      <c r="G63" s="1"/>
      <c r="H63" s="1"/>
      <c r="I63" s="1"/>
      <c r="J63" s="30"/>
      <c r="K63" s="42"/>
      <c r="L63" s="7"/>
      <c r="M63" s="1"/>
      <c r="N63" s="1"/>
    </row>
    <row r="64" spans="2:14" ht="51">
      <c r="B64" s="1" t="s">
        <v>102</v>
      </c>
      <c r="C64" s="4" t="s">
        <v>208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51">
      <c r="B65" s="1" t="s">
        <v>104</v>
      </c>
      <c r="C65" s="4" t="s">
        <v>391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51">
      <c r="B66" s="1" t="s">
        <v>105</v>
      </c>
      <c r="C66" s="3" t="s">
        <v>106</v>
      </c>
      <c r="D66" s="3" t="s">
        <v>107</v>
      </c>
      <c r="E66" s="3"/>
      <c r="F66" s="1"/>
      <c r="G66" s="1"/>
      <c r="H66" s="1"/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2"/>
      <c r="E67" s="2"/>
      <c r="F67" s="2"/>
      <c r="G67" s="2"/>
      <c r="H67" s="2"/>
      <c r="I67" s="2"/>
      <c r="J67" s="31"/>
      <c r="K67" s="43"/>
      <c r="L67" s="6"/>
      <c r="M67" s="2"/>
      <c r="N67" s="2"/>
    </row>
    <row r="68" spans="2:14" ht="12.75">
      <c r="B68" s="1" t="s">
        <v>109</v>
      </c>
      <c r="C68" s="4" t="s">
        <v>482</v>
      </c>
      <c r="D68" s="2"/>
      <c r="E68" s="2"/>
      <c r="F68" s="2"/>
      <c r="G68" s="2"/>
      <c r="H68" s="2"/>
      <c r="I68" s="2"/>
      <c r="J68" s="1"/>
      <c r="K68" s="1"/>
      <c r="L68" s="7"/>
      <c r="M68" s="1"/>
      <c r="N68" s="1"/>
    </row>
    <row r="69" spans="2:14" ht="63.75">
      <c r="B69" s="1" t="s">
        <v>110</v>
      </c>
      <c r="C69" s="3" t="s">
        <v>483</v>
      </c>
      <c r="D69" s="1" t="s">
        <v>111</v>
      </c>
      <c r="E69" s="1"/>
      <c r="F69" s="1"/>
      <c r="G69" s="1"/>
      <c r="H69" s="1"/>
      <c r="I69" s="1"/>
      <c r="J69" s="30"/>
      <c r="K69" s="42"/>
      <c r="L69" s="7"/>
      <c r="M69" s="1"/>
      <c r="N69" s="1"/>
    </row>
    <row r="70" spans="2:14" ht="12.75">
      <c r="B70" s="1"/>
      <c r="C70" s="3"/>
      <c r="D70" s="1" t="s">
        <v>53</v>
      </c>
      <c r="E70" s="1"/>
      <c r="F70" s="1"/>
      <c r="G70" s="1"/>
      <c r="H70" s="1"/>
      <c r="I70" s="1"/>
      <c r="J70" s="30"/>
      <c r="K70" s="42"/>
      <c r="L70" s="7"/>
      <c r="M70" s="1"/>
      <c r="N70" s="1"/>
    </row>
    <row r="71" spans="2:14" ht="12.75">
      <c r="B71" s="1"/>
      <c r="C71" s="3"/>
      <c r="D71" s="1" t="s">
        <v>536</v>
      </c>
      <c r="E71" s="1"/>
      <c r="F71" s="1"/>
      <c r="G71" s="1"/>
      <c r="H71" s="1"/>
      <c r="I71" s="1"/>
      <c r="J71" s="30"/>
      <c r="K71" s="42"/>
      <c r="L71" s="7"/>
      <c r="M71" s="1"/>
      <c r="N71" s="1"/>
    </row>
    <row r="72" spans="2:14" ht="25.5">
      <c r="B72" s="1"/>
      <c r="C72" s="3"/>
      <c r="D72" s="3" t="s">
        <v>112</v>
      </c>
      <c r="E72" s="1"/>
      <c r="F72" s="1"/>
      <c r="G72" s="1"/>
      <c r="H72" s="1"/>
      <c r="I72" s="1"/>
      <c r="J72" s="30"/>
      <c r="K72" s="42"/>
      <c r="L72" s="7"/>
      <c r="M72" s="1"/>
      <c r="N72" s="1"/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/>
      <c r="G74" s="2"/>
      <c r="H74" s="2"/>
      <c r="I74" s="2"/>
      <c r="J74" s="31"/>
      <c r="K74" s="43"/>
      <c r="L74" s="6"/>
      <c r="M74" s="2"/>
      <c r="N74" s="2"/>
    </row>
    <row r="75" spans="2:14" ht="12.75">
      <c r="B75" s="1" t="s">
        <v>113</v>
      </c>
      <c r="C75" s="4" t="s">
        <v>484</v>
      </c>
      <c r="D75" s="2"/>
      <c r="E75" s="2"/>
      <c r="F75" s="2"/>
      <c r="G75" s="2"/>
      <c r="H75" s="2"/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/>
      <c r="G76" s="1"/>
      <c r="H76" s="1"/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/>
      <c r="G77" s="1"/>
      <c r="H77" s="1"/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/>
      <c r="G80" s="2"/>
      <c r="H80" s="2"/>
      <c r="I80" s="2"/>
      <c r="J80" s="31"/>
      <c r="K80" s="43"/>
      <c r="L80" s="6"/>
      <c r="M80" s="2"/>
      <c r="N80" s="2"/>
    </row>
    <row r="81" spans="2:14" ht="12.75">
      <c r="B81" s="1"/>
      <c r="C81" s="3" t="s">
        <v>118</v>
      </c>
      <c r="D81" s="1"/>
      <c r="E81" s="1"/>
      <c r="F81" s="1"/>
      <c r="G81" s="1"/>
      <c r="H81" s="1"/>
      <c r="I81" s="1"/>
      <c r="J81" s="30"/>
      <c r="K81" s="42"/>
      <c r="L81" s="7"/>
      <c r="M81" s="1"/>
      <c r="N81" s="1"/>
    </row>
    <row r="82" spans="2:14" ht="25.5">
      <c r="B82" s="1"/>
      <c r="C82" s="3" t="s">
        <v>119</v>
      </c>
      <c r="D82" s="1"/>
      <c r="E82" s="1"/>
      <c r="F82" s="1"/>
      <c r="G82" s="1"/>
      <c r="H82" s="1"/>
      <c r="I82" s="1"/>
      <c r="J82" s="30"/>
      <c r="K82" s="42"/>
      <c r="L82" s="7"/>
      <c r="M82" s="1"/>
      <c r="N82" s="1"/>
    </row>
    <row r="83" spans="2:14" ht="12.75">
      <c r="B83" s="2" t="s">
        <v>590</v>
      </c>
      <c r="C83" s="4"/>
      <c r="D83" s="2"/>
      <c r="E83" s="2"/>
      <c r="F83" s="2"/>
      <c r="G83" s="2"/>
      <c r="H83" s="2"/>
      <c r="I83" s="2"/>
      <c r="J83" s="31"/>
      <c r="K83" s="43"/>
      <c r="L83" s="6"/>
      <c r="M83" s="2"/>
      <c r="N83" s="2"/>
    </row>
    <row r="84" spans="2:14" ht="12.75">
      <c r="B84" s="1" t="s">
        <v>120</v>
      </c>
      <c r="C84" s="3"/>
      <c r="D84" s="1"/>
      <c r="E84" s="1"/>
      <c r="F84" s="1"/>
      <c r="G84" s="1"/>
      <c r="H84" s="1"/>
      <c r="I84" s="1"/>
      <c r="J84" s="30"/>
      <c r="K84" s="42"/>
      <c r="L84" s="7"/>
      <c r="M84" s="1"/>
      <c r="N84" s="1"/>
    </row>
    <row r="85" spans="2:14" ht="25.5">
      <c r="B85" s="1"/>
      <c r="C85" s="4" t="s">
        <v>121</v>
      </c>
      <c r="D85" s="2"/>
      <c r="E85" s="2"/>
      <c r="F85" s="2"/>
      <c r="G85" s="2"/>
      <c r="H85" s="2"/>
      <c r="I85" s="2"/>
      <c r="J85" s="31"/>
      <c r="K85" s="43"/>
      <c r="L85" s="6"/>
      <c r="M85" s="2"/>
      <c r="N85" s="2"/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/>
      <c r="M86" s="2"/>
      <c r="N86" s="2"/>
    </row>
    <row r="87" spans="2:14" ht="25.5">
      <c r="B87" s="1"/>
      <c r="C87" s="4" t="s">
        <v>285</v>
      </c>
      <c r="D87" s="2"/>
      <c r="E87" s="2"/>
      <c r="F87" s="2"/>
      <c r="G87" s="2"/>
      <c r="H87" s="2"/>
      <c r="I87" s="2"/>
      <c r="J87" s="2"/>
      <c r="K87" s="2"/>
      <c r="L87" s="6"/>
      <c r="M87" s="2"/>
      <c r="N87" s="2"/>
    </row>
    <row r="88" spans="2:14" ht="12.75">
      <c r="B88" s="1"/>
      <c r="C88" s="1" t="s">
        <v>514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2" t="s">
        <v>231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219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 t="s">
        <v>220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221</v>
      </c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</row>
    <row r="95" spans="2:14" ht="12.75">
      <c r="B95" s="1"/>
      <c r="C95" s="2" t="s">
        <v>232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219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 t="s">
        <v>220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221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2" t="s">
        <v>233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219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 t="s">
        <v>220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167"/>
  <sheetViews>
    <sheetView workbookViewId="0" topLeftCell="A1">
      <pane ySplit="5" topLeftCell="BM141" activePane="bottomLeft" state="frozen"/>
      <selection pane="topLeft" activeCell="A1" sqref="A1"/>
      <selection pane="bottomLeft" activeCell="F155" sqref="F155"/>
    </sheetView>
  </sheetViews>
  <sheetFormatPr defaultColWidth="9.140625" defaultRowHeight="12.75"/>
  <cols>
    <col min="1" max="1" width="40.57421875" style="0" customWidth="1"/>
    <col min="2" max="2" width="12.421875" style="0" customWidth="1"/>
    <col min="3" max="3" width="13.00390625" style="0" customWidth="1"/>
    <col min="4" max="4" width="13.7109375" style="0" customWidth="1"/>
    <col min="5" max="5" width="13.421875" style="0" customWidth="1"/>
    <col min="6" max="6" width="11.421875" style="0" customWidth="1"/>
    <col min="7" max="7" width="12.140625" style="0" customWidth="1"/>
    <col min="8" max="8" width="14.421875" style="0" customWidth="1"/>
    <col min="9" max="9" width="16.00390625" style="0" customWidth="1"/>
    <col min="10" max="10" width="15.7109375" style="0" customWidth="1"/>
    <col min="11" max="11" width="11.421875" style="0" customWidth="1"/>
    <col min="12" max="12" width="12.00390625" style="0" customWidth="1"/>
  </cols>
  <sheetData>
    <row r="2" ht="12.75">
      <c r="A2" t="s">
        <v>558</v>
      </c>
    </row>
    <row r="3" ht="12.75">
      <c r="A3" t="s">
        <v>133</v>
      </c>
    </row>
    <row r="5" spans="1:5" ht="38.25">
      <c r="A5" s="5" t="s">
        <v>559</v>
      </c>
      <c r="B5" s="25" t="s">
        <v>560</v>
      </c>
      <c r="C5" s="25" t="s">
        <v>561</v>
      </c>
      <c r="D5" s="25" t="s">
        <v>562</v>
      </c>
      <c r="E5" s="25"/>
    </row>
    <row r="7" ht="12.75">
      <c r="A7" s="25" t="s">
        <v>563</v>
      </c>
    </row>
    <row r="8" spans="1:5" ht="25.5">
      <c r="A8" s="24" t="s">
        <v>564</v>
      </c>
      <c r="B8" s="5">
        <f>B10+B11+B12+B13</f>
        <v>1441675.854</v>
      </c>
      <c r="C8" s="5">
        <f>C10+C11+C12+C13</f>
        <v>120139.65616666667</v>
      </c>
      <c r="D8" s="34">
        <f>D10+D11+D12+D13</f>
        <v>7.662841909840266</v>
      </c>
      <c r="E8" s="5"/>
    </row>
    <row r="9" ht="12.75">
      <c r="A9" s="24" t="s">
        <v>565</v>
      </c>
    </row>
    <row r="10" spans="1:4" ht="51">
      <c r="A10" s="24" t="s">
        <v>566</v>
      </c>
      <c r="B10">
        <v>725458.1</v>
      </c>
      <c r="C10">
        <v>60454.84</v>
      </c>
      <c r="D10">
        <v>3.856</v>
      </c>
    </row>
    <row r="11" spans="1:4" ht="12.75">
      <c r="A11" s="24" t="s">
        <v>567</v>
      </c>
      <c r="B11">
        <f>B10*0.34</f>
        <v>246655.75400000002</v>
      </c>
      <c r="C11">
        <f>B11/12</f>
        <v>20554.64616666667</v>
      </c>
      <c r="D11" s="33">
        <f>C11/15678.1</f>
        <v>1.3110419098402657</v>
      </c>
    </row>
    <row r="12" spans="1:4" ht="12.75">
      <c r="A12" s="24" t="s">
        <v>536</v>
      </c>
      <c r="B12">
        <v>458384</v>
      </c>
      <c r="C12">
        <v>38198.67</v>
      </c>
      <c r="D12">
        <v>2.4364</v>
      </c>
    </row>
    <row r="13" spans="1:4" ht="12.75">
      <c r="A13" s="24" t="s">
        <v>568</v>
      </c>
      <c r="B13">
        <v>11178</v>
      </c>
      <c r="C13">
        <v>931.5</v>
      </c>
      <c r="D13">
        <v>0.0594</v>
      </c>
    </row>
    <row r="14" spans="1:4" ht="51">
      <c r="A14" s="24" t="s">
        <v>569</v>
      </c>
      <c r="B14" s="5">
        <v>196278.39</v>
      </c>
      <c r="C14" s="5">
        <v>16356.53</v>
      </c>
      <c r="D14" s="5">
        <v>1.0433</v>
      </c>
    </row>
    <row r="15" spans="1:4" ht="25.5">
      <c r="A15" s="24" t="s">
        <v>570</v>
      </c>
      <c r="B15" s="5">
        <f>B17+B21+B26+B27+B28+B29</f>
        <v>976973.92</v>
      </c>
      <c r="C15" s="5">
        <f>C17+C21+C26+C27+C28+C29</f>
        <v>81414.49</v>
      </c>
      <c r="D15" s="35">
        <f>D17+D21+D26+D27+D28+D29</f>
        <v>5.192879284479624</v>
      </c>
    </row>
    <row r="16" ht="12.75">
      <c r="A16" s="24" t="s">
        <v>565</v>
      </c>
    </row>
    <row r="17" spans="1:4" ht="38.25">
      <c r="A17" s="24" t="s">
        <v>571</v>
      </c>
      <c r="B17" s="5">
        <v>655038</v>
      </c>
      <c r="C17" s="5">
        <v>54586.5</v>
      </c>
      <c r="D17" s="5">
        <v>3.4817</v>
      </c>
    </row>
    <row r="18" spans="1:4" ht="25.5">
      <c r="A18" s="24" t="s">
        <v>572</v>
      </c>
      <c r="B18">
        <v>209425</v>
      </c>
      <c r="C18">
        <v>17452.08</v>
      </c>
      <c r="D18">
        <v>1.1132</v>
      </c>
    </row>
    <row r="19" spans="1:4" ht="12.75">
      <c r="A19" s="24" t="s">
        <v>573</v>
      </c>
      <c r="B19">
        <v>236188</v>
      </c>
      <c r="C19">
        <v>19682.33</v>
      </c>
      <c r="D19">
        <v>1.2554</v>
      </c>
    </row>
    <row r="20" spans="1:4" ht="12.75">
      <c r="A20" s="24" t="s">
        <v>574</v>
      </c>
      <c r="B20">
        <v>209425</v>
      </c>
      <c r="C20">
        <v>17452.08</v>
      </c>
      <c r="D20">
        <v>1.1132</v>
      </c>
    </row>
    <row r="21" spans="1:4" ht="12.75">
      <c r="A21" s="25" t="s">
        <v>575</v>
      </c>
      <c r="B21" s="5">
        <f>B22+B23+B24</f>
        <v>222712.92</v>
      </c>
      <c r="C21" s="5">
        <f>B21/12</f>
        <v>18559.41</v>
      </c>
      <c r="D21" s="35">
        <f>C21/15678.1</f>
        <v>1.1837792844796244</v>
      </c>
    </row>
    <row r="22" spans="1:4" ht="12.75">
      <c r="A22" s="24" t="s">
        <v>576</v>
      </c>
      <c r="B22">
        <f>B18*0.34</f>
        <v>71204.5</v>
      </c>
      <c r="C22">
        <f>B22/12</f>
        <v>5933.708333333333</v>
      </c>
      <c r="D22">
        <f>C22/15678.1</f>
        <v>0.3784711370212802</v>
      </c>
    </row>
    <row r="23" spans="1:4" ht="12.75">
      <c r="A23" s="24" t="s">
        <v>577</v>
      </c>
      <c r="B23">
        <f>B19*0.34</f>
        <v>80303.92000000001</v>
      </c>
      <c r="C23">
        <f>B23/12</f>
        <v>6691.993333333335</v>
      </c>
      <c r="D23">
        <f>C23/15678.1</f>
        <v>0.42683701043706407</v>
      </c>
    </row>
    <row r="24" spans="1:4" ht="12.75">
      <c r="A24" s="24" t="s">
        <v>578</v>
      </c>
      <c r="B24">
        <f>B20*0.34</f>
        <v>71204.5</v>
      </c>
      <c r="C24">
        <f>B24/12</f>
        <v>5933.708333333333</v>
      </c>
      <c r="D24">
        <f>C24/15678.1</f>
        <v>0.3784711370212802</v>
      </c>
    </row>
    <row r="25" ht="12.75">
      <c r="A25" s="24"/>
    </row>
    <row r="26" spans="1:4" ht="12.75">
      <c r="A26" s="24" t="s">
        <v>536</v>
      </c>
      <c r="B26">
        <v>72297</v>
      </c>
      <c r="C26">
        <v>6024.75</v>
      </c>
      <c r="D26">
        <v>0.3843</v>
      </c>
    </row>
    <row r="27" spans="1:4" ht="12.75">
      <c r="A27" s="24" t="s">
        <v>568</v>
      </c>
      <c r="B27">
        <v>19060</v>
      </c>
      <c r="C27">
        <v>1588.33</v>
      </c>
      <c r="D27">
        <v>0.1013</v>
      </c>
    </row>
    <row r="28" spans="1:4" ht="12.75">
      <c r="A28" s="24" t="s">
        <v>579</v>
      </c>
      <c r="B28">
        <v>416</v>
      </c>
      <c r="C28">
        <v>34.67</v>
      </c>
      <c r="D28">
        <v>0.0022</v>
      </c>
    </row>
    <row r="29" spans="1:4" ht="12.75">
      <c r="A29" s="24" t="s">
        <v>537</v>
      </c>
      <c r="B29">
        <v>7450</v>
      </c>
      <c r="C29">
        <v>620.83</v>
      </c>
      <c r="D29">
        <v>0.0396</v>
      </c>
    </row>
    <row r="30" ht="12.75">
      <c r="A30" s="24"/>
    </row>
    <row r="31" spans="1:4" ht="12.75">
      <c r="A31" s="25" t="s">
        <v>580</v>
      </c>
      <c r="B31" s="5">
        <f>B32+B33+B34</f>
        <v>1103707.6600000001</v>
      </c>
      <c r="C31" s="5">
        <f>C32+C33+C34</f>
        <v>91975.64166666666</v>
      </c>
      <c r="D31" s="5">
        <f>D32+D33+D34</f>
        <v>5.866423066357957</v>
      </c>
    </row>
    <row r="32" spans="1:4" ht="12.75">
      <c r="A32" s="24" t="s">
        <v>581</v>
      </c>
      <c r="B32">
        <v>822449</v>
      </c>
      <c r="C32">
        <v>68537.42</v>
      </c>
      <c r="D32">
        <v>4.3715</v>
      </c>
    </row>
    <row r="33" spans="1:4" ht="12.75">
      <c r="A33" s="24" t="s">
        <v>567</v>
      </c>
      <c r="B33">
        <f>B32*0.34</f>
        <v>279632.66000000003</v>
      </c>
      <c r="C33">
        <f>B33/12</f>
        <v>23302.721666666668</v>
      </c>
      <c r="D33">
        <f>C33/15678.1</f>
        <v>1.4863230663579559</v>
      </c>
    </row>
    <row r="34" spans="1:4" ht="12.75">
      <c r="A34" s="24" t="s">
        <v>582</v>
      </c>
      <c r="B34">
        <v>1626</v>
      </c>
      <c r="C34">
        <v>135.5</v>
      </c>
      <c r="D34">
        <v>0.0086</v>
      </c>
    </row>
    <row r="35" ht="12.75">
      <c r="A35" s="24"/>
    </row>
    <row r="36" ht="12.75">
      <c r="A36" s="24"/>
    </row>
    <row r="37" spans="1:4" ht="12.75">
      <c r="A37" s="24" t="s">
        <v>583</v>
      </c>
      <c r="B37" s="5">
        <f>B38+B39+B40+B41+B42+B43</f>
        <v>1544481.28768</v>
      </c>
      <c r="C37" s="5">
        <f>C38+C39+C40+C41+C42+C43</f>
        <v>128706.77064</v>
      </c>
      <c r="D37" s="5">
        <f>D38+D39+D40+D41+D42+D43</f>
        <v>8.2094</v>
      </c>
    </row>
    <row r="38" spans="1:4" ht="12.75">
      <c r="A38" s="24" t="s">
        <v>584</v>
      </c>
      <c r="B38">
        <f>2.79*15678.1*12</f>
        <v>524902.7880000001</v>
      </c>
      <c r="C38">
        <f>B38/12</f>
        <v>43741.899000000005</v>
      </c>
      <c r="D38">
        <f>C38/15678.1</f>
        <v>2.79</v>
      </c>
    </row>
    <row r="39" spans="1:4" ht="12.75">
      <c r="A39" s="24" t="s">
        <v>585</v>
      </c>
      <c r="B39">
        <f>0.13*15678.1*12</f>
        <v>24457.836</v>
      </c>
      <c r="C39">
        <f>B39/12</f>
        <v>2038.153</v>
      </c>
      <c r="D39">
        <f>C39/15678.1</f>
        <v>0.13</v>
      </c>
    </row>
    <row r="40" spans="1:4" ht="12.75">
      <c r="A40" s="24" t="s">
        <v>586</v>
      </c>
      <c r="B40">
        <f>2.84*1.41*15678.1*12</f>
        <v>753376.60368</v>
      </c>
      <c r="C40">
        <f>B40/12</f>
        <v>62781.38363999999</v>
      </c>
      <c r="D40">
        <f>C40/15678.1</f>
        <v>4.0043999999999995</v>
      </c>
    </row>
    <row r="41" spans="1:4" ht="12.75">
      <c r="A41" s="24" t="s">
        <v>587</v>
      </c>
      <c r="B41">
        <v>37000</v>
      </c>
      <c r="C41">
        <v>3083.33</v>
      </c>
      <c r="D41">
        <v>0.1967</v>
      </c>
    </row>
    <row r="42" spans="1:4" ht="12.75">
      <c r="A42" s="24" t="s">
        <v>588</v>
      </c>
      <c r="B42">
        <v>7200</v>
      </c>
      <c r="C42">
        <v>600</v>
      </c>
      <c r="D42">
        <v>0.0383</v>
      </c>
    </row>
    <row r="43" spans="1:4" ht="12.75">
      <c r="A43" s="24" t="s">
        <v>553</v>
      </c>
      <c r="B43">
        <f>1.05*15678.1*12</f>
        <v>197544.06</v>
      </c>
      <c r="C43">
        <f>B43/12</f>
        <v>16462.005</v>
      </c>
      <c r="D43">
        <f>C43/15678.1</f>
        <v>1.05</v>
      </c>
    </row>
    <row r="44" ht="12.75">
      <c r="A44" s="24"/>
    </row>
    <row r="45" spans="1:6" ht="12.75">
      <c r="A45" s="25" t="s">
        <v>589</v>
      </c>
      <c r="B45" s="5">
        <f>B8+B14+B15+B31+B37</f>
        <v>5263117.11168</v>
      </c>
      <c r="C45" s="5">
        <f>C8+C14+C31+C37</f>
        <v>357178.59847333335</v>
      </c>
      <c r="D45" s="35">
        <f>D8+D14+D15+D31+D37</f>
        <v>27.97484426067785</v>
      </c>
      <c r="E45" s="5"/>
      <c r="F45" s="5"/>
    </row>
    <row r="46" ht="12.75">
      <c r="A46" s="24"/>
    </row>
    <row r="47" spans="1:4" ht="25.5">
      <c r="A47" s="24" t="s">
        <v>136</v>
      </c>
      <c r="B47">
        <f>B45*0.319</f>
        <v>1678934.35862592</v>
      </c>
      <c r="C47">
        <f>C45*0.319</f>
        <v>113939.97291299334</v>
      </c>
      <c r="D47" s="33">
        <f>D45*0.319</f>
        <v>8.923975319156234</v>
      </c>
    </row>
    <row r="48" ht="12.75">
      <c r="A48" s="24"/>
    </row>
    <row r="49" spans="1:4" ht="12.75">
      <c r="A49" s="24" t="s">
        <v>590</v>
      </c>
      <c r="B49" s="5">
        <f>B45+B47</f>
        <v>6942051.47030592</v>
      </c>
      <c r="C49" s="5">
        <f>C45+C47</f>
        <v>471118.5713863267</v>
      </c>
      <c r="D49" s="34">
        <f>D45+D47</f>
        <v>36.89881957983408</v>
      </c>
    </row>
    <row r="50" ht="12.75">
      <c r="A50" s="24"/>
    </row>
    <row r="51" ht="12.75">
      <c r="A51" s="24"/>
    </row>
    <row r="52" spans="1:4" ht="12.75">
      <c r="A52" s="24" t="s">
        <v>591</v>
      </c>
      <c r="D52">
        <v>35.3</v>
      </c>
    </row>
    <row r="53" ht="12.75">
      <c r="A53" s="24"/>
    </row>
    <row r="54" ht="12.75">
      <c r="A54" s="24"/>
    </row>
    <row r="55" ht="12.75">
      <c r="A55" s="24"/>
    </row>
    <row r="56" spans="1:4" ht="12.75">
      <c r="A56" s="24" t="s">
        <v>0</v>
      </c>
      <c r="D56">
        <v>3.5</v>
      </c>
    </row>
    <row r="58" spans="1:8" ht="12.75">
      <c r="A58" s="74" t="s">
        <v>22</v>
      </c>
      <c r="B58" s="74" t="s">
        <v>13</v>
      </c>
      <c r="C58" s="70"/>
      <c r="D58" s="74" t="s">
        <v>134</v>
      </c>
      <c r="E58" s="74" t="s">
        <v>172</v>
      </c>
      <c r="F58" s="74" t="s">
        <v>222</v>
      </c>
      <c r="H58" s="74" t="s">
        <v>367</v>
      </c>
    </row>
    <row r="59" spans="1:9" ht="12.75" customHeight="1">
      <c r="A59" s="70"/>
      <c r="B59" s="70"/>
      <c r="C59" s="70"/>
      <c r="D59" s="70"/>
      <c r="E59" s="70"/>
      <c r="F59" s="70"/>
      <c r="G59" s="85"/>
      <c r="H59" s="70"/>
      <c r="I59" s="85"/>
    </row>
    <row r="60" spans="1:9" ht="12.75">
      <c r="A60" s="70"/>
      <c r="B60" s="70"/>
      <c r="C60" s="70"/>
      <c r="D60" s="70"/>
      <c r="E60" s="70"/>
      <c r="F60" s="70"/>
      <c r="G60" s="85"/>
      <c r="H60" s="70"/>
      <c r="I60" s="85"/>
    </row>
    <row r="61" spans="1:9" ht="12.75">
      <c r="A61" s="27" t="s">
        <v>15</v>
      </c>
      <c r="B61" s="28"/>
      <c r="C61" s="27"/>
      <c r="D61" s="27"/>
      <c r="E61" s="27"/>
      <c r="F61" s="27"/>
      <c r="G61" s="26"/>
      <c r="H61" s="26"/>
      <c r="I61" s="26"/>
    </row>
    <row r="62" spans="1:9" ht="12.75">
      <c r="A62" s="27"/>
      <c r="B62" s="28"/>
      <c r="C62" s="27"/>
      <c r="D62" s="27"/>
      <c r="E62" s="27"/>
      <c r="F62" s="27"/>
      <c r="G62" s="26" t="s">
        <v>20</v>
      </c>
      <c r="H62" s="26"/>
      <c r="I62" s="26" t="s">
        <v>33</v>
      </c>
    </row>
    <row r="63" spans="1:9" ht="12.75">
      <c r="A63" t="s">
        <v>1</v>
      </c>
      <c r="B63">
        <v>1.8782</v>
      </c>
      <c r="D63">
        <f>B63*15678.1*3</f>
        <v>88339.82226000002</v>
      </c>
      <c r="E63">
        <f>B63*15678.1*6</f>
        <v>176679.64452000003</v>
      </c>
      <c r="F63">
        <f>B63*15678.1*9</f>
        <v>265019.46678</v>
      </c>
      <c r="G63">
        <f>F63+F67</f>
        <v>475502.66271</v>
      </c>
      <c r="H63">
        <f>B63*15678.1*12</f>
        <v>353359.28904000006</v>
      </c>
      <c r="I63">
        <f>H63+H67</f>
        <v>634003.5502800001</v>
      </c>
    </row>
    <row r="65" spans="1:8" ht="12.75">
      <c r="A65" t="s">
        <v>2</v>
      </c>
      <c r="B65">
        <v>1.8231</v>
      </c>
      <c r="D65">
        <f>B65*15678.1*3</f>
        <v>85748.23233</v>
      </c>
      <c r="E65">
        <f aca="true" t="shared" si="0" ref="E65:E90">B65*15678.1*6</f>
        <v>171496.46466</v>
      </c>
      <c r="F65">
        <f>B65*15678.1*9</f>
        <v>257244.69699</v>
      </c>
      <c r="H65">
        <f aca="true" t="shared" si="1" ref="H65:H90">B65*15678.1*12</f>
        <v>342992.92932</v>
      </c>
    </row>
    <row r="67" spans="1:8" ht="12.75">
      <c r="A67" t="s">
        <v>3</v>
      </c>
      <c r="B67">
        <v>1.4917</v>
      </c>
      <c r="D67">
        <f>B67*15678.1*3</f>
        <v>70161.06531</v>
      </c>
      <c r="E67">
        <f t="shared" si="0"/>
        <v>140322.13062</v>
      </c>
      <c r="F67">
        <f>B67*15678.1*9</f>
        <v>210483.19593</v>
      </c>
      <c r="H67">
        <f t="shared" si="1"/>
        <v>280644.26124</v>
      </c>
    </row>
    <row r="69" spans="1:8" ht="12.75">
      <c r="A69" s="5" t="s">
        <v>139</v>
      </c>
      <c r="B69" s="5">
        <f>SUM(B63:B68)</f>
        <v>5.193</v>
      </c>
      <c r="C69" s="5"/>
      <c r="D69" s="5">
        <f>SUM(D63:D68)</f>
        <v>244249.11990000002</v>
      </c>
      <c r="E69" s="5">
        <f t="shared" si="0"/>
        <v>488498.2398</v>
      </c>
      <c r="F69" s="5">
        <f>B69*15678.1*9</f>
        <v>732747.3596999999</v>
      </c>
      <c r="G69" s="5"/>
      <c r="H69" s="5">
        <f t="shared" si="1"/>
        <v>976996.4796</v>
      </c>
    </row>
    <row r="70" ht="12.75">
      <c r="F70" s="5"/>
    </row>
    <row r="71" spans="1:8" ht="12.75">
      <c r="A71" t="s">
        <v>4</v>
      </c>
      <c r="B71">
        <v>0.0383</v>
      </c>
      <c r="D71">
        <f>B71*15678.1*3</f>
        <v>1801.4136899999999</v>
      </c>
      <c r="E71">
        <f t="shared" si="0"/>
        <v>3602.8273799999997</v>
      </c>
      <c r="F71" s="37">
        <f aca="true" t="shared" si="2" ref="F71:F90">B71*15678.1*9</f>
        <v>5404.24107</v>
      </c>
      <c r="H71">
        <f t="shared" si="1"/>
        <v>7205.654759999999</v>
      </c>
    </row>
    <row r="72" ht="12.75">
      <c r="F72" s="37"/>
    </row>
    <row r="73" spans="1:8" ht="12.75">
      <c r="A73" t="s">
        <v>5</v>
      </c>
      <c r="B73">
        <v>4.201</v>
      </c>
      <c r="D73">
        <f aca="true" t="shared" si="3" ref="D73:D87">B73*15678.1*3</f>
        <v>197591.0943</v>
      </c>
      <c r="E73">
        <f t="shared" si="0"/>
        <v>395182.1886</v>
      </c>
      <c r="F73" s="37">
        <f t="shared" si="2"/>
        <v>592773.2829</v>
      </c>
      <c r="H73">
        <f t="shared" si="1"/>
        <v>790364.3772</v>
      </c>
    </row>
    <row r="74" ht="12.75">
      <c r="F74" s="37"/>
    </row>
    <row r="75" spans="1:8" ht="12.75">
      <c r="A75" t="s">
        <v>6</v>
      </c>
      <c r="B75">
        <v>2.949</v>
      </c>
      <c r="D75">
        <f t="shared" si="3"/>
        <v>138704.1507</v>
      </c>
      <c r="E75">
        <f t="shared" si="0"/>
        <v>277408.3014</v>
      </c>
      <c r="F75" s="37">
        <f t="shared" si="2"/>
        <v>416112.4521</v>
      </c>
      <c r="H75">
        <f t="shared" si="1"/>
        <v>554816.6028</v>
      </c>
    </row>
    <row r="76" ht="12.75">
      <c r="F76" s="37"/>
    </row>
    <row r="77" spans="1:8" ht="12.75">
      <c r="A77" t="s">
        <v>7</v>
      </c>
      <c r="B77">
        <v>1.974</v>
      </c>
      <c r="D77">
        <f t="shared" si="3"/>
        <v>92845.7082</v>
      </c>
      <c r="E77">
        <f t="shared" si="0"/>
        <v>185691.4164</v>
      </c>
      <c r="F77" s="37">
        <f t="shared" si="2"/>
        <v>278537.1246</v>
      </c>
      <c r="H77">
        <f t="shared" si="1"/>
        <v>371382.8328</v>
      </c>
    </row>
    <row r="78" ht="12.75">
      <c r="F78" s="37"/>
    </row>
    <row r="79" spans="1:8" ht="12.75">
      <c r="A79" t="s">
        <v>14</v>
      </c>
      <c r="B79">
        <v>3.009</v>
      </c>
      <c r="D79">
        <f t="shared" si="3"/>
        <v>141526.20870000002</v>
      </c>
      <c r="E79">
        <f t="shared" si="0"/>
        <v>283052.41740000003</v>
      </c>
      <c r="F79" s="37">
        <f t="shared" si="2"/>
        <v>424578.6261</v>
      </c>
      <c r="H79">
        <f t="shared" si="1"/>
        <v>566104.8348000001</v>
      </c>
    </row>
    <row r="80" ht="12.75">
      <c r="F80" s="37"/>
    </row>
    <row r="81" spans="1:8" ht="12.75">
      <c r="A81" t="s">
        <v>8</v>
      </c>
      <c r="B81">
        <v>0.771</v>
      </c>
      <c r="D81">
        <f t="shared" si="3"/>
        <v>36263.4453</v>
      </c>
      <c r="E81">
        <f t="shared" si="0"/>
        <v>72526.8906</v>
      </c>
      <c r="F81" s="37">
        <f t="shared" si="2"/>
        <v>108790.3359</v>
      </c>
      <c r="H81">
        <f t="shared" si="1"/>
        <v>145053.7812</v>
      </c>
    </row>
    <row r="82" ht="12.75">
      <c r="F82" s="37"/>
    </row>
    <row r="83" spans="1:8" ht="12.75">
      <c r="A83" t="s">
        <v>9</v>
      </c>
      <c r="B83">
        <v>2.92</v>
      </c>
      <c r="D83">
        <f t="shared" si="3"/>
        <v>137340.15600000002</v>
      </c>
      <c r="E83">
        <f t="shared" si="0"/>
        <v>274680.31200000003</v>
      </c>
      <c r="F83" s="37">
        <f t="shared" si="2"/>
        <v>412020.46800000005</v>
      </c>
      <c r="H83">
        <f t="shared" si="1"/>
        <v>549360.6240000001</v>
      </c>
    </row>
    <row r="84" ht="12.75">
      <c r="F84" s="37"/>
    </row>
    <row r="85" spans="1:8" ht="12.75">
      <c r="A85" t="s">
        <v>138</v>
      </c>
      <c r="B85">
        <v>5.866</v>
      </c>
      <c r="D85">
        <f t="shared" si="3"/>
        <v>275903.2038</v>
      </c>
      <c r="E85">
        <f t="shared" si="0"/>
        <v>551806.4076</v>
      </c>
      <c r="F85" s="37">
        <f t="shared" si="2"/>
        <v>827709.6113999999</v>
      </c>
      <c r="H85">
        <f t="shared" si="1"/>
        <v>1103612.8152</v>
      </c>
    </row>
    <row r="86" spans="1:8" ht="12.75">
      <c r="A86" t="s">
        <v>10</v>
      </c>
      <c r="B86">
        <v>8.924</v>
      </c>
      <c r="D86">
        <f t="shared" si="3"/>
        <v>419734.0932</v>
      </c>
      <c r="E86">
        <f t="shared" si="0"/>
        <v>839468.1864</v>
      </c>
      <c r="F86" s="37">
        <f t="shared" si="2"/>
        <v>1259202.2796</v>
      </c>
      <c r="H86">
        <f t="shared" si="1"/>
        <v>1678936.3728</v>
      </c>
    </row>
    <row r="87" spans="1:8" ht="12.75">
      <c r="A87" t="s">
        <v>137</v>
      </c>
      <c r="B87">
        <v>1.05</v>
      </c>
      <c r="D87">
        <f t="shared" si="3"/>
        <v>49386.015</v>
      </c>
      <c r="E87">
        <f t="shared" si="0"/>
        <v>98772.03</v>
      </c>
      <c r="F87" s="37">
        <f t="shared" si="2"/>
        <v>148158.045</v>
      </c>
      <c r="H87">
        <f t="shared" si="1"/>
        <v>197544.06</v>
      </c>
    </row>
    <row r="88" spans="1:6" ht="12.75">
      <c r="A88" t="s">
        <v>11</v>
      </c>
      <c r="F88" s="37"/>
    </row>
    <row r="89" ht="12.75">
      <c r="F89" s="37"/>
    </row>
    <row r="90" spans="1:8" ht="12.75">
      <c r="A90" s="5" t="s">
        <v>12</v>
      </c>
      <c r="B90" s="5">
        <f>SUM(B69:B89)</f>
        <v>36.89529999999999</v>
      </c>
      <c r="C90" s="5"/>
      <c r="D90" s="5">
        <f>SUM(D69:D89)</f>
        <v>1735344.60879</v>
      </c>
      <c r="E90" s="5">
        <f t="shared" si="0"/>
        <v>3470689.2175799995</v>
      </c>
      <c r="F90" s="5">
        <f t="shared" si="2"/>
        <v>5206033.826369999</v>
      </c>
      <c r="G90" s="5"/>
      <c r="H90" s="5">
        <f t="shared" si="1"/>
        <v>6941378.435159999</v>
      </c>
    </row>
    <row r="92" spans="1:8" ht="12.75">
      <c r="A92" t="s">
        <v>540</v>
      </c>
      <c r="H92" s="52"/>
    </row>
    <row r="94" ht="12.75">
      <c r="A94" t="s">
        <v>135</v>
      </c>
    </row>
    <row r="95" ht="12.75">
      <c r="A95" s="74" t="s">
        <v>22</v>
      </c>
    </row>
    <row r="96" ht="12.75">
      <c r="A96" s="74"/>
    </row>
    <row r="97" ht="12.75">
      <c r="A97" s="74"/>
    </row>
    <row r="98" ht="12.75">
      <c r="A98" s="1"/>
    </row>
    <row r="99" ht="12.75">
      <c r="A99" s="2" t="s">
        <v>16</v>
      </c>
    </row>
    <row r="100" ht="12.75">
      <c r="A100" s="1"/>
    </row>
    <row r="101" ht="12.75">
      <c r="A101" s="3" t="s">
        <v>23</v>
      </c>
    </row>
    <row r="102" ht="25.5">
      <c r="A102" s="4" t="s">
        <v>24</v>
      </c>
    </row>
    <row r="103" ht="25.5">
      <c r="A103" s="3" t="s">
        <v>25</v>
      </c>
    </row>
    <row r="104" ht="25.5">
      <c r="A104" s="3" t="s">
        <v>26</v>
      </c>
    </row>
    <row r="105" ht="25.5">
      <c r="A105" s="3" t="s">
        <v>27</v>
      </c>
    </row>
    <row r="106" ht="12.75">
      <c r="A106" s="3" t="s">
        <v>28</v>
      </c>
    </row>
    <row r="107" ht="12.75">
      <c r="A107" s="3" t="s">
        <v>29</v>
      </c>
    </row>
    <row r="108" ht="12.75">
      <c r="A108" s="4" t="s">
        <v>17</v>
      </c>
    </row>
    <row r="109" ht="38.25">
      <c r="A109" s="3" t="s">
        <v>145</v>
      </c>
    </row>
    <row r="110" ht="12.75">
      <c r="A110" s="4" t="s">
        <v>548</v>
      </c>
    </row>
    <row r="111" ht="38.25">
      <c r="A111" s="4" t="s">
        <v>31</v>
      </c>
    </row>
    <row r="112" ht="12.75">
      <c r="A112" s="3" t="s">
        <v>32</v>
      </c>
    </row>
    <row r="113" ht="25.5">
      <c r="A113" s="3" t="s">
        <v>549</v>
      </c>
    </row>
    <row r="114" ht="12.75">
      <c r="A114" s="4"/>
    </row>
    <row r="115" ht="25.5">
      <c r="A115" s="3" t="s">
        <v>34</v>
      </c>
    </row>
    <row r="116" ht="25.5">
      <c r="A116" s="3" t="s">
        <v>35</v>
      </c>
    </row>
    <row r="117" ht="12.75">
      <c r="A117" s="3" t="s">
        <v>36</v>
      </c>
    </row>
    <row r="118" ht="25.5">
      <c r="A118" s="4" t="s">
        <v>550</v>
      </c>
    </row>
    <row r="119" ht="12.75">
      <c r="A119" s="4" t="s">
        <v>548</v>
      </c>
    </row>
    <row r="120" ht="12.75">
      <c r="A120" s="3"/>
    </row>
    <row r="121" ht="25.5">
      <c r="A121" s="4" t="s">
        <v>38</v>
      </c>
    </row>
    <row r="122" ht="25.5">
      <c r="A122" s="4" t="s">
        <v>383</v>
      </c>
    </row>
    <row r="123" ht="25.5">
      <c r="A123" s="4" t="s">
        <v>456</v>
      </c>
    </row>
    <row r="124" ht="12.75">
      <c r="A124" s="4" t="s">
        <v>384</v>
      </c>
    </row>
    <row r="125" ht="12.75">
      <c r="A125" s="4" t="s">
        <v>240</v>
      </c>
    </row>
    <row r="126" ht="38.25">
      <c r="A126" s="3" t="s">
        <v>551</v>
      </c>
    </row>
    <row r="127" ht="12.75">
      <c r="A127" s="4" t="s">
        <v>548</v>
      </c>
    </row>
    <row r="128" ht="38.25">
      <c r="A128" s="4" t="s">
        <v>39</v>
      </c>
    </row>
    <row r="129" ht="12.75">
      <c r="A129" s="3" t="s">
        <v>186</v>
      </c>
    </row>
    <row r="130" ht="12.75">
      <c r="A130" s="3" t="s">
        <v>471</v>
      </c>
    </row>
    <row r="131" ht="25.5">
      <c r="A131" s="53" t="s">
        <v>385</v>
      </c>
    </row>
    <row r="132" ht="12.75">
      <c r="A132" s="4"/>
    </row>
    <row r="133" ht="12.75">
      <c r="A133" s="4"/>
    </row>
    <row r="134" ht="12.75">
      <c r="A134" s="3"/>
    </row>
    <row r="135" ht="25.5">
      <c r="A135" s="3" t="s">
        <v>552</v>
      </c>
    </row>
    <row r="136" ht="12.75">
      <c r="A136" s="4" t="s">
        <v>548</v>
      </c>
    </row>
    <row r="137" ht="38.25">
      <c r="A137" s="4" t="s">
        <v>481</v>
      </c>
    </row>
    <row r="138" ht="25.5">
      <c r="A138" s="4" t="s">
        <v>146</v>
      </c>
    </row>
    <row r="139" ht="12.75">
      <c r="A139" s="4" t="s">
        <v>18</v>
      </c>
    </row>
    <row r="140" ht="38.25">
      <c r="A140" s="4" t="s">
        <v>449</v>
      </c>
    </row>
    <row r="141" ht="63.75">
      <c r="A141" s="4" t="s">
        <v>207</v>
      </c>
    </row>
    <row r="142" ht="114.75">
      <c r="A142" s="4" t="s">
        <v>390</v>
      </c>
    </row>
    <row r="143" ht="38.25">
      <c r="A143" s="4" t="s">
        <v>147</v>
      </c>
    </row>
    <row r="144" ht="12.75">
      <c r="A144" s="4" t="s">
        <v>548</v>
      </c>
    </row>
    <row r="145" ht="12.75">
      <c r="A145" s="4" t="s">
        <v>482</v>
      </c>
    </row>
    <row r="146" ht="51">
      <c r="A146" s="3" t="s">
        <v>483</v>
      </c>
    </row>
    <row r="147" ht="12.75">
      <c r="A147" s="3"/>
    </row>
    <row r="148" ht="12.75">
      <c r="A148" s="3"/>
    </row>
    <row r="149" ht="12.75">
      <c r="A149" s="3"/>
    </row>
    <row r="150" ht="12.75">
      <c r="A150" s="4" t="s">
        <v>548</v>
      </c>
    </row>
    <row r="151" ht="12.75">
      <c r="A151" s="3"/>
    </row>
    <row r="152" ht="12.75">
      <c r="A152" s="3"/>
    </row>
    <row r="153" ht="12.75">
      <c r="A153" s="3"/>
    </row>
    <row r="154" ht="12.75">
      <c r="A154" s="4"/>
    </row>
    <row r="155" ht="12.75">
      <c r="A155" s="3" t="s">
        <v>538</v>
      </c>
    </row>
    <row r="156" ht="25.5">
      <c r="A156" s="3" t="s">
        <v>539</v>
      </c>
    </row>
    <row r="157" ht="12.75">
      <c r="A157" s="4"/>
    </row>
    <row r="158" ht="12.75">
      <c r="A158" s="3"/>
    </row>
    <row r="159" ht="12.75">
      <c r="A159" s="4" t="s">
        <v>486</v>
      </c>
    </row>
    <row r="160" ht="12.75">
      <c r="A160" s="4" t="s">
        <v>37</v>
      </c>
    </row>
    <row r="161" ht="12.75">
      <c r="A161" s="4" t="s">
        <v>484</v>
      </c>
    </row>
    <row r="162" ht="12.75">
      <c r="A162" s="3" t="s">
        <v>485</v>
      </c>
    </row>
    <row r="163" ht="12.75">
      <c r="A163" s="4" t="s">
        <v>555</v>
      </c>
    </row>
    <row r="164" ht="25.5">
      <c r="A164" s="3" t="s">
        <v>556</v>
      </c>
    </row>
    <row r="165" ht="12.75">
      <c r="A165" s="3" t="s">
        <v>557</v>
      </c>
    </row>
    <row r="166" ht="12.75">
      <c r="A166" s="4" t="s">
        <v>554</v>
      </c>
    </row>
    <row r="167" ht="12.75">
      <c r="A167" s="1"/>
    </row>
  </sheetData>
  <mergeCells count="10">
    <mergeCell ref="I59:I60"/>
    <mergeCell ref="G59:G60"/>
    <mergeCell ref="E58:E60"/>
    <mergeCell ref="F58:F60"/>
    <mergeCell ref="H58:H60"/>
    <mergeCell ref="B58:B60"/>
    <mergeCell ref="C58:C60"/>
    <mergeCell ref="D58:D60"/>
    <mergeCell ref="A95:A97"/>
    <mergeCell ref="A58:A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4:P102"/>
  <sheetViews>
    <sheetView workbookViewId="0" topLeftCell="A1">
      <pane xSplit="1" ySplit="18" topLeftCell="B85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E22" sqref="E22:I102"/>
    </sheetView>
  </sheetViews>
  <sheetFormatPr defaultColWidth="9.140625" defaultRowHeight="12.75"/>
  <cols>
    <col min="3" max="3" width="36.7109375" style="0" customWidth="1"/>
    <col min="4" max="4" width="16.8515625" style="0" customWidth="1"/>
    <col min="5" max="5" width="15.140625" style="0" customWidth="1"/>
    <col min="6" max="6" width="15.57421875" style="0" customWidth="1"/>
    <col min="7" max="7" width="14.7109375" style="0" customWidth="1"/>
    <col min="8" max="8" width="13.8515625" style="0" customWidth="1"/>
    <col min="9" max="9" width="11.00390625" style="0" customWidth="1"/>
    <col min="10" max="10" width="11.140625" style="0" customWidth="1"/>
    <col min="11" max="11" width="14.57421875" style="0" customWidth="1"/>
    <col min="12" max="12" width="11.57421875" style="0" customWidth="1"/>
    <col min="13" max="13" width="10.28125" style="0" customWidth="1"/>
    <col min="14" max="14" width="10.421875" style="0" customWidth="1"/>
    <col min="15" max="15" width="12.57421875" style="0" customWidth="1"/>
    <col min="16" max="16" width="11.421875" style="0" customWidth="1"/>
    <col min="17" max="17" width="11.00390625" style="0" customWidth="1"/>
    <col min="18" max="18" width="13.7109375" style="0" customWidth="1"/>
  </cols>
  <sheetData>
    <row r="4" spans="2:3" ht="12.75">
      <c r="B4" s="5" t="s">
        <v>487</v>
      </c>
      <c r="C4" s="5" t="s">
        <v>495</v>
      </c>
    </row>
    <row r="5" spans="2:3" ht="12.75">
      <c r="B5" t="s">
        <v>488</v>
      </c>
      <c r="C5">
        <v>5494.8</v>
      </c>
    </row>
    <row r="6" spans="2:3" ht="12.75">
      <c r="B6" t="s">
        <v>489</v>
      </c>
      <c r="C6">
        <v>1311</v>
      </c>
    </row>
    <row r="7" spans="2:3" ht="12.75">
      <c r="B7" t="s">
        <v>490</v>
      </c>
      <c r="C7">
        <v>1741.2</v>
      </c>
    </row>
    <row r="8" spans="2:3" ht="12.75">
      <c r="B8" t="s">
        <v>491</v>
      </c>
      <c r="C8">
        <v>442.8</v>
      </c>
    </row>
    <row r="9" spans="2:3" ht="12.75">
      <c r="B9" t="s">
        <v>492</v>
      </c>
      <c r="C9">
        <v>6</v>
      </c>
    </row>
    <row r="10" spans="2:3" ht="12.75">
      <c r="B10" t="s">
        <v>493</v>
      </c>
      <c r="C10">
        <v>109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9" t="s">
        <v>131</v>
      </c>
      <c r="L14" s="79"/>
      <c r="M14" s="79"/>
      <c r="N14" s="79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/>
      <c r="F22" s="2"/>
      <c r="G22" s="2"/>
      <c r="H22" s="2"/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/>
      <c r="F25" s="2"/>
      <c r="G25" s="2"/>
      <c r="H25" s="2"/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/>
      <c r="G27" s="1"/>
      <c r="H27" s="1"/>
      <c r="I27" s="1"/>
      <c r="J27" s="30"/>
      <c r="K27" s="42"/>
      <c r="L27" s="7"/>
      <c r="M27" s="1"/>
      <c r="N27" s="1"/>
    </row>
    <row r="28" spans="2:14" ht="25.5">
      <c r="B28" s="1" t="s">
        <v>52</v>
      </c>
      <c r="C28" s="3" t="s">
        <v>27</v>
      </c>
      <c r="D28" s="1" t="s">
        <v>53</v>
      </c>
      <c r="E28" s="1"/>
      <c r="F28" s="1"/>
      <c r="G28" s="1"/>
      <c r="H28" s="1"/>
      <c r="I28" s="1"/>
      <c r="J28" s="30"/>
      <c r="K28" s="42"/>
      <c r="L28" s="7"/>
      <c r="M28" s="1"/>
      <c r="N28" s="1"/>
    </row>
    <row r="29" spans="2:14" ht="12.75">
      <c r="B29" s="1" t="s">
        <v>54</v>
      </c>
      <c r="C29" s="3"/>
      <c r="D29" s="1" t="s">
        <v>536</v>
      </c>
      <c r="E29" s="1"/>
      <c r="F29" s="1"/>
      <c r="G29" s="1"/>
      <c r="H29" s="1"/>
      <c r="I29" s="30"/>
      <c r="J29" s="30"/>
      <c r="K29" s="42"/>
      <c r="L29" s="7"/>
      <c r="M29" s="1"/>
      <c r="N29" s="1"/>
    </row>
    <row r="30" spans="2:14" ht="12.75">
      <c r="B30" s="1" t="s">
        <v>55</v>
      </c>
      <c r="C30" s="3"/>
      <c r="D30" s="1"/>
      <c r="E30" s="1"/>
      <c r="F30" s="1"/>
      <c r="G30" s="1"/>
      <c r="H30" s="1"/>
      <c r="I30" s="1"/>
      <c r="J30" s="1"/>
      <c r="K30" s="1"/>
      <c r="L30" s="7"/>
      <c r="M30" s="1"/>
      <c r="N30" s="1"/>
    </row>
    <row r="31" spans="2:14" ht="25.5">
      <c r="B31" s="1" t="s">
        <v>56</v>
      </c>
      <c r="C31" s="3"/>
      <c r="D31" s="3" t="s">
        <v>58</v>
      </c>
      <c r="E31" s="1"/>
      <c r="F31" s="1"/>
      <c r="G31" s="1"/>
      <c r="H31" s="1"/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/>
      <c r="G33" s="2"/>
      <c r="H33" s="2"/>
      <c r="I33" s="2"/>
      <c r="J33" s="31"/>
      <c r="K33" s="43"/>
      <c r="L33" s="6"/>
      <c r="M33" s="2"/>
      <c r="N33" s="2"/>
    </row>
    <row r="34" spans="2:14" ht="38.25">
      <c r="B34" s="1" t="s">
        <v>61</v>
      </c>
      <c r="C34" s="4" t="s">
        <v>31</v>
      </c>
      <c r="D34" s="2"/>
      <c r="E34" s="2"/>
      <c r="F34" s="2"/>
      <c r="G34" s="2"/>
      <c r="H34" s="2"/>
      <c r="I34" s="1"/>
      <c r="J34" s="1"/>
      <c r="K34" s="1"/>
      <c r="L34" s="7"/>
      <c r="M34" s="1"/>
      <c r="N34" s="1"/>
    </row>
    <row r="35" spans="2:14" ht="12.75">
      <c r="B35" s="1" t="s">
        <v>62</v>
      </c>
      <c r="C35" s="3" t="s">
        <v>32</v>
      </c>
      <c r="D35" s="1" t="s">
        <v>51</v>
      </c>
      <c r="E35" s="1"/>
      <c r="F35" s="1"/>
      <c r="G35" s="1"/>
      <c r="H35" s="1"/>
      <c r="I35" s="1"/>
      <c r="J35" s="30"/>
      <c r="K35" s="42"/>
      <c r="L35" s="7"/>
      <c r="M35" s="1"/>
      <c r="N35" s="1"/>
    </row>
    <row r="36" spans="2:14" ht="12.75">
      <c r="B36" s="1" t="s">
        <v>63</v>
      </c>
      <c r="C36" s="3" t="s">
        <v>311</v>
      </c>
      <c r="D36" s="1" t="s">
        <v>53</v>
      </c>
      <c r="E36" s="1"/>
      <c r="F36" s="1"/>
      <c r="G36" s="1"/>
      <c r="H36" s="1"/>
      <c r="I36" s="1"/>
      <c r="J36" s="30"/>
      <c r="K36" s="42"/>
      <c r="L36" s="7"/>
      <c r="M36" s="1"/>
      <c r="N36" s="1"/>
    </row>
    <row r="37" spans="2:14" ht="12.75">
      <c r="B37" s="1" t="s">
        <v>65</v>
      </c>
      <c r="C37" s="3" t="s">
        <v>66</v>
      </c>
      <c r="D37" s="1" t="s">
        <v>536</v>
      </c>
      <c r="E37" s="1"/>
      <c r="F37" s="1"/>
      <c r="G37" s="1"/>
      <c r="H37" s="1"/>
      <c r="I37" s="1"/>
      <c r="J37" s="30"/>
      <c r="K37" s="42"/>
      <c r="L37" s="7"/>
      <c r="M37" s="1"/>
      <c r="N37" s="1"/>
    </row>
    <row r="38" spans="2:14" ht="25.5">
      <c r="B38" s="1" t="s">
        <v>67</v>
      </c>
      <c r="C38" s="3" t="s">
        <v>34</v>
      </c>
      <c r="D38" s="1" t="s">
        <v>68</v>
      </c>
      <c r="E38" s="1"/>
      <c r="F38" s="1"/>
      <c r="G38" s="1"/>
      <c r="H38" s="1"/>
      <c r="I38" s="1"/>
      <c r="J38" s="30"/>
      <c r="K38" s="42"/>
      <c r="L38" s="7"/>
      <c r="M38" s="1"/>
      <c r="N38" s="1"/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/>
      <c r="G41" s="1"/>
      <c r="H41" s="1"/>
      <c r="I41" s="1"/>
      <c r="J41" s="30"/>
      <c r="K41" s="42"/>
      <c r="L41" s="7"/>
      <c r="M41" s="1"/>
      <c r="N41" s="1"/>
    </row>
    <row r="42" spans="2:14" ht="12.75">
      <c r="B42" s="1"/>
      <c r="C42" s="4" t="s">
        <v>60</v>
      </c>
      <c r="D42" s="2"/>
      <c r="E42" s="2"/>
      <c r="F42" s="2"/>
      <c r="G42" s="2"/>
      <c r="H42" s="2"/>
      <c r="I42" s="2"/>
      <c r="J42" s="31"/>
      <c r="K42" s="43"/>
      <c r="L42" s="6"/>
      <c r="M42" s="2"/>
      <c r="N42" s="2"/>
    </row>
    <row r="43" spans="2:14" ht="12.75">
      <c r="B43" s="1" t="s">
        <v>74</v>
      </c>
      <c r="C43" s="4" t="s">
        <v>37</v>
      </c>
      <c r="D43" s="2"/>
      <c r="E43" s="2"/>
      <c r="F43" s="2"/>
      <c r="G43" s="2"/>
      <c r="H43" s="2"/>
      <c r="I43" s="2"/>
      <c r="J43" s="31"/>
      <c r="K43" s="43"/>
      <c r="L43" s="6"/>
      <c r="M43" s="2"/>
      <c r="N43" s="50"/>
    </row>
    <row r="44" spans="2:14" ht="38.25">
      <c r="B44" s="1" t="s">
        <v>75</v>
      </c>
      <c r="C44" s="4" t="s">
        <v>38</v>
      </c>
      <c r="D44" s="2"/>
      <c r="E44" s="2"/>
      <c r="F44" s="2"/>
      <c r="G44" s="2"/>
      <c r="H44" s="2"/>
      <c r="I44" s="2"/>
      <c r="J44" s="2"/>
      <c r="K44" s="1"/>
      <c r="L44" s="7"/>
      <c r="M44" s="1"/>
      <c r="N44" s="1"/>
    </row>
    <row r="45" spans="2:14" ht="63.75">
      <c r="B45" s="1" t="s">
        <v>76</v>
      </c>
      <c r="C45" s="3" t="s">
        <v>77</v>
      </c>
      <c r="D45" s="1" t="s">
        <v>51</v>
      </c>
      <c r="E45" s="1"/>
      <c r="F45" s="1"/>
      <c r="G45" s="1"/>
      <c r="H45" s="1"/>
      <c r="I45" s="1"/>
      <c r="J45" s="30"/>
      <c r="K45" s="42"/>
      <c r="L45" s="7"/>
      <c r="M45" s="1"/>
      <c r="N45" s="1"/>
    </row>
    <row r="46" spans="2:14" ht="63.75">
      <c r="B46" s="1" t="s">
        <v>78</v>
      </c>
      <c r="C46" s="3" t="s">
        <v>190</v>
      </c>
      <c r="D46" s="1" t="s">
        <v>53</v>
      </c>
      <c r="E46" s="1"/>
      <c r="F46" s="1"/>
      <c r="G46" s="1"/>
      <c r="H46" s="1"/>
      <c r="I46" s="1"/>
      <c r="J46" s="30"/>
      <c r="K46" s="42"/>
      <c r="L46" s="7"/>
      <c r="M46" s="1"/>
      <c r="N46" s="1"/>
    </row>
    <row r="47" spans="2:14" ht="89.25">
      <c r="B47" s="1" t="s">
        <v>80</v>
      </c>
      <c r="C47" s="29" t="s">
        <v>129</v>
      </c>
      <c r="D47" s="1" t="s">
        <v>536</v>
      </c>
      <c r="E47" s="1"/>
      <c r="F47" s="1"/>
      <c r="G47" s="1"/>
      <c r="H47" s="1"/>
      <c r="I47" s="1"/>
      <c r="J47" s="30"/>
      <c r="K47" s="42"/>
      <c r="L47" s="7"/>
      <c r="M47" s="1"/>
      <c r="N47" s="1"/>
    </row>
    <row r="48" spans="2:14" ht="25.5">
      <c r="B48" s="1"/>
      <c r="C48" s="4" t="s">
        <v>254</v>
      </c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4" t="s">
        <v>144</v>
      </c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6" ht="12.75">
      <c r="B50" s="1"/>
      <c r="C50" s="4" t="s">
        <v>60</v>
      </c>
      <c r="D50" s="2"/>
      <c r="E50" s="2"/>
      <c r="F50" s="2"/>
      <c r="G50" s="2"/>
      <c r="H50" s="2"/>
      <c r="I50" s="2"/>
      <c r="J50" s="31"/>
      <c r="K50" s="43"/>
      <c r="L50" s="6"/>
      <c r="M50" s="2"/>
      <c r="N50" s="2"/>
      <c r="O50" s="5"/>
      <c r="P50" s="51"/>
    </row>
    <row r="51" spans="2:14" ht="38.25">
      <c r="B51" s="1" t="s">
        <v>81</v>
      </c>
      <c r="C51" s="4" t="s">
        <v>39</v>
      </c>
      <c r="D51" s="2"/>
      <c r="E51" s="2"/>
      <c r="F51" s="2"/>
      <c r="G51" s="2"/>
      <c r="H51" s="2"/>
      <c r="I51" s="1"/>
      <c r="J51" s="1"/>
      <c r="K51" s="1"/>
      <c r="L51" s="7"/>
      <c r="M51" s="1"/>
      <c r="N51" s="1"/>
    </row>
    <row r="52" spans="2:14" ht="25.5">
      <c r="B52" s="1" t="s">
        <v>82</v>
      </c>
      <c r="C52" s="3" t="s">
        <v>382</v>
      </c>
      <c r="D52" s="1" t="s">
        <v>51</v>
      </c>
      <c r="E52" s="1"/>
      <c r="F52" s="1"/>
      <c r="G52" s="1"/>
      <c r="H52" s="1"/>
      <c r="I52" s="1"/>
      <c r="J52" s="30"/>
      <c r="K52" s="42"/>
      <c r="L52" s="7"/>
      <c r="M52" s="1"/>
      <c r="N52" s="1"/>
    </row>
    <row r="53" spans="2:14" ht="38.25">
      <c r="B53" s="1" t="s">
        <v>84</v>
      </c>
      <c r="C53" s="3" t="s">
        <v>85</v>
      </c>
      <c r="D53" s="1" t="s">
        <v>53</v>
      </c>
      <c r="E53" s="1"/>
      <c r="F53" s="1"/>
      <c r="G53" s="1"/>
      <c r="H53" s="1"/>
      <c r="I53" s="1"/>
      <c r="J53" s="30"/>
      <c r="K53" s="42"/>
      <c r="L53" s="7"/>
      <c r="M53" s="1"/>
      <c r="N53" s="1"/>
    </row>
    <row r="54" spans="2:14" ht="51">
      <c r="B54" s="1" t="s">
        <v>86</v>
      </c>
      <c r="C54" s="3" t="s">
        <v>87</v>
      </c>
      <c r="D54" s="1" t="s">
        <v>536</v>
      </c>
      <c r="E54" s="1"/>
      <c r="F54" s="1"/>
      <c r="G54" s="1"/>
      <c r="H54" s="1"/>
      <c r="I54" s="1"/>
      <c r="J54" s="30"/>
      <c r="K54" s="42"/>
      <c r="L54" s="7"/>
      <c r="M54" s="1"/>
      <c r="N54" s="1"/>
    </row>
    <row r="55" spans="2:14" ht="25.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38.2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63.7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3"/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/>
      <c r="G59" s="2"/>
      <c r="H59" s="2"/>
      <c r="I59" s="2"/>
      <c r="J59" s="31"/>
      <c r="K59" s="43"/>
      <c r="L59" s="6"/>
      <c r="M59" s="2"/>
      <c r="N59" s="2"/>
    </row>
    <row r="60" spans="2:14" ht="38.25">
      <c r="B60" s="1" t="s">
        <v>95</v>
      </c>
      <c r="C60" s="4" t="s">
        <v>481</v>
      </c>
      <c r="D60" s="2"/>
      <c r="E60" s="2"/>
      <c r="F60" s="2"/>
      <c r="G60" s="2"/>
      <c r="H60" s="2"/>
      <c r="I60" s="1"/>
      <c r="J60" s="1"/>
      <c r="K60" s="1"/>
      <c r="L60" s="7"/>
      <c r="M60" s="1"/>
      <c r="N60" s="1"/>
    </row>
    <row r="61" spans="2:14" ht="63.75">
      <c r="B61" s="1" t="s">
        <v>96</v>
      </c>
      <c r="C61" s="3" t="s">
        <v>359</v>
      </c>
      <c r="D61" s="1" t="s">
        <v>51</v>
      </c>
      <c r="E61" s="1"/>
      <c r="F61" s="1"/>
      <c r="G61" s="1"/>
      <c r="H61" s="1"/>
      <c r="I61" s="1"/>
      <c r="J61" s="30"/>
      <c r="K61" s="42"/>
      <c r="L61" s="7"/>
      <c r="M61" s="1"/>
      <c r="N61" s="1"/>
    </row>
    <row r="62" spans="2:14" ht="12.75">
      <c r="B62" s="1" t="s">
        <v>98</v>
      </c>
      <c r="C62" s="3" t="s">
        <v>99</v>
      </c>
      <c r="D62" s="1" t="s">
        <v>53</v>
      </c>
      <c r="E62" s="1"/>
      <c r="F62" s="1"/>
      <c r="G62" s="1"/>
      <c r="H62" s="1"/>
      <c r="I62" s="1"/>
      <c r="J62" s="30"/>
      <c r="K62" s="42"/>
      <c r="L62" s="7"/>
      <c r="M62" s="1"/>
      <c r="N62" s="1"/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/>
      <c r="G63" s="1"/>
      <c r="H63" s="1"/>
      <c r="I63" s="1"/>
      <c r="J63" s="30"/>
      <c r="K63" s="42"/>
      <c r="L63" s="7"/>
      <c r="M63" s="1"/>
      <c r="N63" s="1"/>
    </row>
    <row r="64" spans="2:14" ht="51">
      <c r="B64" s="1" t="s">
        <v>102</v>
      </c>
      <c r="C64" s="3" t="s">
        <v>210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51">
      <c r="B65" s="1" t="s">
        <v>104</v>
      </c>
      <c r="C65" s="4" t="s">
        <v>394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38.25">
      <c r="B66" s="1" t="s">
        <v>105</v>
      </c>
      <c r="C66" s="3" t="s">
        <v>106</v>
      </c>
      <c r="D66" s="3" t="s">
        <v>107</v>
      </c>
      <c r="E66" s="1"/>
      <c r="F66" s="1"/>
      <c r="G66" s="1"/>
      <c r="H66" s="1"/>
      <c r="I66" s="1"/>
      <c r="J66" s="30"/>
      <c r="K66" s="42"/>
      <c r="L66" s="7"/>
      <c r="M66" s="1"/>
      <c r="N66" s="1"/>
    </row>
    <row r="67" spans="2:16" ht="12.75">
      <c r="B67" s="1"/>
      <c r="C67" s="4" t="s">
        <v>60</v>
      </c>
      <c r="D67" s="2"/>
      <c r="E67" s="2"/>
      <c r="F67" s="2"/>
      <c r="G67" s="2"/>
      <c r="H67" s="2"/>
      <c r="I67" s="2"/>
      <c r="J67" s="31"/>
      <c r="K67" s="43"/>
      <c r="L67" s="6"/>
      <c r="M67" s="2"/>
      <c r="N67" s="2"/>
      <c r="O67" s="5"/>
      <c r="P67" s="5"/>
    </row>
    <row r="68" spans="2:14" ht="12.75">
      <c r="B68" s="1" t="s">
        <v>109</v>
      </c>
      <c r="C68" s="4" t="s">
        <v>482</v>
      </c>
      <c r="D68" s="2"/>
      <c r="E68" s="2"/>
      <c r="F68" s="2"/>
      <c r="G68" s="2"/>
      <c r="H68" s="2"/>
      <c r="I68" s="2"/>
      <c r="J68" s="1"/>
      <c r="K68" s="1"/>
      <c r="L68" s="7"/>
      <c r="M68" s="1"/>
      <c r="N68" s="1"/>
    </row>
    <row r="69" spans="2:14" ht="51">
      <c r="B69" s="1" t="s">
        <v>110</v>
      </c>
      <c r="C69" s="3" t="s">
        <v>483</v>
      </c>
      <c r="D69" s="1" t="s">
        <v>111</v>
      </c>
      <c r="E69" s="1"/>
      <c r="F69" s="1"/>
      <c r="G69" s="1"/>
      <c r="H69" s="1"/>
      <c r="I69" s="1"/>
      <c r="J69" s="30"/>
      <c r="K69" s="42"/>
      <c r="L69" s="7"/>
      <c r="M69" s="1"/>
      <c r="N69" s="1"/>
    </row>
    <row r="70" spans="2:14" ht="12.75">
      <c r="B70" s="1"/>
      <c r="C70" s="3"/>
      <c r="D70" s="1" t="s">
        <v>53</v>
      </c>
      <c r="E70" s="1"/>
      <c r="F70" s="1"/>
      <c r="G70" s="1"/>
      <c r="H70" s="1"/>
      <c r="I70" s="1"/>
      <c r="J70" s="30"/>
      <c r="K70" s="42"/>
      <c r="L70" s="7"/>
      <c r="M70" s="1"/>
      <c r="N70" s="1"/>
    </row>
    <row r="71" spans="2:14" ht="12.75">
      <c r="B71" s="1"/>
      <c r="C71" s="3"/>
      <c r="D71" s="1" t="s">
        <v>536</v>
      </c>
      <c r="E71" s="1"/>
      <c r="F71" s="1"/>
      <c r="G71" s="1"/>
      <c r="H71" s="1"/>
      <c r="I71" s="1"/>
      <c r="J71" s="30"/>
      <c r="K71" s="42"/>
      <c r="L71" s="7"/>
      <c r="M71" s="1"/>
      <c r="N71" s="1"/>
    </row>
    <row r="72" spans="2:14" ht="25.5">
      <c r="B72" s="1"/>
      <c r="C72" s="3"/>
      <c r="D72" s="3" t="s">
        <v>112</v>
      </c>
      <c r="E72" s="1"/>
      <c r="F72" s="1"/>
      <c r="G72" s="1"/>
      <c r="H72" s="1"/>
      <c r="I72" s="1"/>
      <c r="J72" s="30"/>
      <c r="K72" s="42"/>
      <c r="L72" s="7"/>
      <c r="M72" s="1"/>
      <c r="N72" s="1"/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5" ht="12.75">
      <c r="B74" s="1"/>
      <c r="C74" s="4" t="s">
        <v>60</v>
      </c>
      <c r="D74" s="2"/>
      <c r="E74" s="2"/>
      <c r="F74" s="2"/>
      <c r="G74" s="2"/>
      <c r="H74" s="2"/>
      <c r="I74" s="2"/>
      <c r="J74" s="31"/>
      <c r="K74" s="43"/>
      <c r="L74" s="6"/>
      <c r="M74" s="2"/>
      <c r="N74" s="2"/>
      <c r="O74" s="5"/>
    </row>
    <row r="75" spans="2:14" ht="12.75">
      <c r="B75" s="1" t="s">
        <v>113</v>
      </c>
      <c r="C75" s="4" t="s">
        <v>484</v>
      </c>
      <c r="D75" s="2"/>
      <c r="E75" s="2"/>
      <c r="F75" s="2"/>
      <c r="G75" s="2"/>
      <c r="H75" s="2"/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/>
      <c r="G76" s="1"/>
      <c r="H76" s="1"/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/>
      <c r="G77" s="1"/>
      <c r="H77" s="1"/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5" ht="12.75">
      <c r="B80" s="2" t="s">
        <v>117</v>
      </c>
      <c r="C80" s="4"/>
      <c r="D80" s="2"/>
      <c r="E80" s="2"/>
      <c r="F80" s="2"/>
      <c r="G80" s="2"/>
      <c r="H80" s="2"/>
      <c r="I80" s="2"/>
      <c r="J80" s="31"/>
      <c r="K80" s="43"/>
      <c r="L80" s="6"/>
      <c r="M80" s="2"/>
      <c r="N80" s="2"/>
      <c r="O80" s="5"/>
    </row>
    <row r="81" spans="2:14" ht="12.75">
      <c r="B81" s="1"/>
      <c r="C81" s="3" t="s">
        <v>118</v>
      </c>
      <c r="D81" s="1"/>
      <c r="E81" s="1"/>
      <c r="F81" s="1"/>
      <c r="G81" s="1"/>
      <c r="H81" s="1"/>
      <c r="I81" s="1"/>
      <c r="J81" s="30"/>
      <c r="K81" s="42"/>
      <c r="L81" s="7"/>
      <c r="M81" s="1"/>
      <c r="N81" s="1"/>
    </row>
    <row r="82" spans="2:14" ht="25.5">
      <c r="B82" s="1"/>
      <c r="C82" s="3" t="s">
        <v>119</v>
      </c>
      <c r="D82" s="1"/>
      <c r="E82" s="1"/>
      <c r="F82" s="1"/>
      <c r="G82" s="1"/>
      <c r="H82" s="1"/>
      <c r="I82" s="1"/>
      <c r="J82" s="30"/>
      <c r="K82" s="42"/>
      <c r="L82" s="7"/>
      <c r="M82" s="1"/>
      <c r="N82" s="1"/>
    </row>
    <row r="83" spans="2:15" ht="12.75">
      <c r="B83" s="2" t="s">
        <v>590</v>
      </c>
      <c r="C83" s="4"/>
      <c r="D83" s="2"/>
      <c r="E83" s="2"/>
      <c r="F83" s="2"/>
      <c r="G83" s="2"/>
      <c r="H83" s="2"/>
      <c r="I83" s="2"/>
      <c r="J83" s="31"/>
      <c r="K83" s="43"/>
      <c r="L83" s="6"/>
      <c r="M83" s="2"/>
      <c r="N83" s="2"/>
      <c r="O83" s="5"/>
    </row>
    <row r="84" spans="2:14" ht="12.75">
      <c r="B84" s="1" t="s">
        <v>120</v>
      </c>
      <c r="C84" s="3"/>
      <c r="D84" s="1"/>
      <c r="E84" s="1"/>
      <c r="F84" s="1"/>
      <c r="G84" s="1"/>
      <c r="H84" s="1"/>
      <c r="I84" s="1"/>
      <c r="J84" s="30"/>
      <c r="K84" s="42"/>
      <c r="L84" s="7"/>
      <c r="M84" s="1"/>
      <c r="N84" s="1"/>
    </row>
    <row r="85" spans="2:15" ht="25.5">
      <c r="B85" s="1"/>
      <c r="C85" s="4" t="s">
        <v>121</v>
      </c>
      <c r="D85" s="2"/>
      <c r="E85" s="2"/>
      <c r="F85" s="2"/>
      <c r="G85" s="2"/>
      <c r="H85" s="2"/>
      <c r="I85" s="2"/>
      <c r="J85" s="31"/>
      <c r="K85" s="43"/>
      <c r="L85" s="6"/>
      <c r="M85" s="2"/>
      <c r="N85" s="2"/>
      <c r="O85" s="5"/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/>
      <c r="M86" s="2"/>
      <c r="N86" s="2"/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/>
      <c r="K87" s="1"/>
      <c r="L87" s="7"/>
      <c r="M87" s="1"/>
      <c r="N87" s="1"/>
    </row>
    <row r="88" spans="2:14" ht="12.75">
      <c r="B88" s="1"/>
      <c r="C88" s="1" t="s">
        <v>366</v>
      </c>
      <c r="D88" s="1"/>
      <c r="E88" s="1"/>
      <c r="F88" s="1"/>
      <c r="G88" s="1"/>
      <c r="H88" s="1"/>
      <c r="I88" s="1"/>
      <c r="J88" s="1"/>
      <c r="K88" s="1"/>
      <c r="L88" s="7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14" ht="12.75"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3:14" ht="12.75"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3:14" ht="12.75"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3:14" ht="12.75"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</row>
    <row r="94" spans="3:14" ht="12.75"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3:14" ht="12.75"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3:14" ht="12.75"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3:14" ht="12.75"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3:14" ht="12.75"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3:14" ht="12.75"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3:14" ht="12.75"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3:14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3:14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</sheetData>
  <mergeCells count="16">
    <mergeCell ref="I14:J14"/>
    <mergeCell ref="I15:I18"/>
    <mergeCell ref="J15:J18"/>
    <mergeCell ref="F14:F18"/>
    <mergeCell ref="G14:H14"/>
    <mergeCell ref="G15:G18"/>
    <mergeCell ref="H15:H18"/>
    <mergeCell ref="B14:B18"/>
    <mergeCell ref="C14:C18"/>
    <mergeCell ref="D14:D18"/>
    <mergeCell ref="E14:E18"/>
    <mergeCell ref="K14:N14"/>
    <mergeCell ref="K15:K18"/>
    <mergeCell ref="L15:L18"/>
    <mergeCell ref="M15:M18"/>
    <mergeCell ref="N15:N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L101"/>
  <sheetViews>
    <sheetView workbookViewId="0" topLeftCell="A4">
      <pane xSplit="1" ySplit="15" topLeftCell="B61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N15" sqref="N15"/>
    </sheetView>
  </sheetViews>
  <sheetFormatPr defaultColWidth="9.140625" defaultRowHeight="12.75"/>
  <cols>
    <col min="3" max="3" width="36.57421875" style="0" customWidth="1"/>
    <col min="4" max="4" width="17.00390625" style="0" customWidth="1"/>
    <col min="5" max="5" width="12.57421875" style="0" hidden="1" customWidth="1"/>
    <col min="6" max="6" width="14.00390625" style="0" hidden="1" customWidth="1"/>
    <col min="7" max="7" width="13.00390625" style="0" hidden="1" customWidth="1"/>
    <col min="8" max="8" width="0" style="0" hidden="1" customWidth="1"/>
    <col min="9" max="9" width="11.57421875" style="0" hidden="1" customWidth="1"/>
    <col min="11" max="11" width="11.00390625" style="0" customWidth="1"/>
    <col min="12" max="12" width="11.7109375" style="0" customWidth="1"/>
  </cols>
  <sheetData>
    <row r="4" spans="2:3" ht="12.75">
      <c r="B4" t="s">
        <v>487</v>
      </c>
      <c r="C4" s="5" t="s">
        <v>176</v>
      </c>
    </row>
    <row r="5" spans="2:3" ht="12.75">
      <c r="B5" t="s">
        <v>488</v>
      </c>
      <c r="C5">
        <v>2942.6</v>
      </c>
    </row>
    <row r="6" spans="2:3" ht="12.75">
      <c r="B6" t="s">
        <v>489</v>
      </c>
      <c r="C6">
        <v>5899</v>
      </c>
    </row>
    <row r="7" spans="2:3" ht="12.75">
      <c r="B7" t="s">
        <v>490</v>
      </c>
      <c r="C7" s="5">
        <v>865</v>
      </c>
    </row>
    <row r="8" spans="2:3" ht="12.75">
      <c r="B8" t="s">
        <v>491</v>
      </c>
      <c r="C8">
        <v>368.4</v>
      </c>
    </row>
    <row r="9" spans="2:3" ht="12.75">
      <c r="B9" t="s">
        <v>492</v>
      </c>
      <c r="C9">
        <v>4</v>
      </c>
    </row>
    <row r="10" spans="2:3" ht="12.75">
      <c r="B10" t="s">
        <v>493</v>
      </c>
      <c r="C10">
        <v>60</v>
      </c>
    </row>
    <row r="11" spans="2:3" ht="12.75">
      <c r="B11" t="s">
        <v>494</v>
      </c>
      <c r="C11">
        <v>5</v>
      </c>
    </row>
    <row r="12" spans="2:3" ht="12.75">
      <c r="B12" t="s">
        <v>547</v>
      </c>
      <c r="C12">
        <v>2</v>
      </c>
    </row>
    <row r="14" spans="2:12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</row>
    <row r="15" spans="2:12" ht="12.75" customHeight="1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80" t="s">
        <v>177</v>
      </c>
      <c r="L15" s="74" t="s">
        <v>310</v>
      </c>
    </row>
    <row r="16" spans="2:12" ht="12.75">
      <c r="B16" s="74"/>
      <c r="C16" s="74"/>
      <c r="D16" s="74"/>
      <c r="E16" s="74"/>
      <c r="F16" s="74"/>
      <c r="G16" s="74"/>
      <c r="H16" s="74"/>
      <c r="I16" s="74"/>
      <c r="J16" s="74"/>
      <c r="K16" s="80"/>
      <c r="L16" s="74"/>
    </row>
    <row r="17" spans="2:12" ht="12.75">
      <c r="B17" s="74"/>
      <c r="C17" s="74"/>
      <c r="D17" s="74"/>
      <c r="E17" s="74"/>
      <c r="F17" s="74"/>
      <c r="G17" s="74"/>
      <c r="H17" s="74"/>
      <c r="I17" s="74"/>
      <c r="J17" s="74"/>
      <c r="K17" s="80"/>
      <c r="L17" s="74"/>
    </row>
    <row r="18" spans="2:12" ht="12.75">
      <c r="B18" s="74"/>
      <c r="C18" s="74"/>
      <c r="D18" s="74"/>
      <c r="E18" s="74"/>
      <c r="F18" s="74"/>
      <c r="G18" s="74"/>
      <c r="H18" s="74"/>
      <c r="I18" s="74"/>
      <c r="J18" s="74"/>
      <c r="K18" s="80"/>
      <c r="L18" s="74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</row>
    <row r="23" spans="2:12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</row>
    <row r="25" spans="2:12" ht="25.5">
      <c r="B25" s="1" t="s">
        <v>48</v>
      </c>
      <c r="C25" s="4" t="s">
        <v>24</v>
      </c>
      <c r="D25" s="4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</row>
    <row r="26" spans="2:12" ht="25.5">
      <c r="B26" s="1" t="s">
        <v>49</v>
      </c>
      <c r="C26" s="3" t="s">
        <v>25</v>
      </c>
      <c r="D26" s="3"/>
      <c r="E26" s="1"/>
      <c r="F26" s="1"/>
      <c r="G26" s="1"/>
      <c r="H26" s="1"/>
      <c r="I26" s="1"/>
      <c r="J26" s="1"/>
      <c r="K26" s="1"/>
      <c r="L26" s="1"/>
    </row>
    <row r="27" spans="2:12" ht="25.5">
      <c r="B27" s="1" t="s">
        <v>50</v>
      </c>
      <c r="C27" s="3" t="s">
        <v>26</v>
      </c>
      <c r="D27" s="3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35631.64854528802</v>
      </c>
      <c r="J27" s="30">
        <f>I27/C5/12</f>
        <v>1.0090749831579788</v>
      </c>
      <c r="K27" s="42">
        <f>J27*C5*2</f>
        <v>5938.6080908813365</v>
      </c>
      <c r="L27" s="44">
        <f>J27*C5*5</f>
        <v>14846.520227203342</v>
      </c>
    </row>
    <row r="28" spans="2:12" ht="25.5">
      <c r="B28" s="1" t="s">
        <v>52</v>
      </c>
      <c r="C28" s="3" t="s">
        <v>27</v>
      </c>
      <c r="D28" s="3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12114.759551143878</v>
      </c>
      <c r="J28" s="30">
        <f>I28/C5/12</f>
        <v>0.34308546724959443</v>
      </c>
      <c r="K28" s="42">
        <f>J28*C5*2</f>
        <v>2019.126591857313</v>
      </c>
      <c r="L28" s="44">
        <f>J28*C5*5</f>
        <v>5047.816479643283</v>
      </c>
    </row>
    <row r="29" spans="2:12" ht="12.75">
      <c r="B29" s="1" t="s">
        <v>54</v>
      </c>
      <c r="C29" s="3"/>
      <c r="D29" s="3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2421.8183927398536</v>
      </c>
      <c r="J29" s="30">
        <f>I29/C5/12</f>
        <v>0.06858499265784945</v>
      </c>
      <c r="K29" s="42">
        <f>J29*C5*2</f>
        <v>403.6363987899756</v>
      </c>
      <c r="L29" s="44">
        <f>J29*C5*5</f>
        <v>1009.090996974939</v>
      </c>
    </row>
    <row r="30" spans="2:12" ht="12.75">
      <c r="B30" s="1" t="s">
        <v>55</v>
      </c>
      <c r="C30" s="3"/>
      <c r="D30" s="3"/>
      <c r="E30" s="1">
        <v>15</v>
      </c>
      <c r="F30" s="1"/>
      <c r="G30" s="1"/>
      <c r="H30" s="1"/>
      <c r="I30" s="1"/>
      <c r="J30" s="1"/>
      <c r="K30" s="1"/>
      <c r="L30" s="44"/>
    </row>
    <row r="31" spans="2:12" ht="25.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44"/>
    </row>
    <row r="32" spans="2:12" ht="12.75">
      <c r="B32" s="1" t="s">
        <v>59</v>
      </c>
      <c r="C32" s="3"/>
      <c r="D32" s="3"/>
      <c r="E32" s="1"/>
      <c r="F32" s="1"/>
      <c r="G32" s="1"/>
      <c r="H32" s="1"/>
      <c r="I32" s="1"/>
      <c r="J32" s="1"/>
      <c r="K32" s="1"/>
      <c r="L32" s="44"/>
    </row>
    <row r="33" spans="2:12" ht="12.75">
      <c r="B33" s="1"/>
      <c r="C33" s="4" t="s">
        <v>60</v>
      </c>
      <c r="D33" s="4"/>
      <c r="E33" s="2"/>
      <c r="F33" s="2">
        <v>3257220.6</v>
      </c>
      <c r="G33" s="2">
        <v>1472050.7</v>
      </c>
      <c r="H33" s="2">
        <v>1785169.9</v>
      </c>
      <c r="I33" s="2">
        <f>SUM(I27:I32)</f>
        <v>50168.22648917176</v>
      </c>
      <c r="J33" s="31">
        <f>SUM(J27:J32)</f>
        <v>1.4207454430654227</v>
      </c>
      <c r="K33" s="43">
        <f>SUM(K27:K32)</f>
        <v>8361.371081528625</v>
      </c>
      <c r="L33" s="6">
        <f>SUM(L27:L32)</f>
        <v>20903.427703821562</v>
      </c>
    </row>
    <row r="34" spans="2:12" ht="38.25">
      <c r="B34" s="1" t="s">
        <v>61</v>
      </c>
      <c r="C34" s="4" t="s">
        <v>31</v>
      </c>
      <c r="D34" s="4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</row>
    <row r="35" spans="2:12" ht="12.75">
      <c r="B35" s="1" t="s">
        <v>62</v>
      </c>
      <c r="C35" s="3" t="s">
        <v>32</v>
      </c>
      <c r="D35" s="3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49602.4854330779</v>
      </c>
      <c r="J35" s="30">
        <f>I35/C5/12</f>
        <v>1.4047238675852958</v>
      </c>
      <c r="K35" s="42">
        <f>J35*C5*2</f>
        <v>8267.080905512983</v>
      </c>
      <c r="L35" s="7">
        <f>J35*C5*5</f>
        <v>20667.702263782456</v>
      </c>
    </row>
    <row r="36" spans="2:12" ht="12.75">
      <c r="B36" s="1" t="s">
        <v>63</v>
      </c>
      <c r="C36" s="3" t="s">
        <v>64</v>
      </c>
      <c r="D36" s="3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16864.846945884085</v>
      </c>
      <c r="J36" s="30">
        <f>I36/C5/12</f>
        <v>0.4776061687477085</v>
      </c>
      <c r="K36" s="42">
        <f>J36*C5*2</f>
        <v>2810.807824314014</v>
      </c>
      <c r="L36" s="7">
        <f>J36*C5*5</f>
        <v>7027.019560785035</v>
      </c>
    </row>
    <row r="37" spans="2:12" ht="12.75">
      <c r="B37" s="1" t="s">
        <v>65</v>
      </c>
      <c r="C37" s="3" t="s">
        <v>66</v>
      </c>
      <c r="D37" s="3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7028.359394816283</v>
      </c>
      <c r="J37" s="30">
        <f>I37/C5/12</f>
        <v>0.19904051391106173</v>
      </c>
      <c r="K37" s="42">
        <f>J37*C5*2</f>
        <v>1171.3932324693803</v>
      </c>
      <c r="L37" s="7">
        <f>J37*C5*5</f>
        <v>2928.483081173451</v>
      </c>
    </row>
    <row r="38" spans="2:12" ht="25.5">
      <c r="B38" s="1" t="s">
        <v>67</v>
      </c>
      <c r="C38" s="3" t="s">
        <v>34</v>
      </c>
      <c r="D38" s="3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3357.8873025229595</v>
      </c>
      <c r="J38" s="30">
        <f>I38/C5/12</f>
        <v>0.0950941146866422</v>
      </c>
      <c r="K38" s="42">
        <f>J38*C5*2</f>
        <v>559.6478837538266</v>
      </c>
      <c r="L38" s="7">
        <f>J38*C5*5</f>
        <v>1399.1197093845665</v>
      </c>
    </row>
    <row r="39" spans="2:12" ht="25.5">
      <c r="B39" s="1" t="s">
        <v>69</v>
      </c>
      <c r="C39" s="3" t="s">
        <v>35</v>
      </c>
      <c r="D39" s="3"/>
      <c r="E39" s="1"/>
      <c r="F39" s="1"/>
      <c r="G39" s="1"/>
      <c r="H39" s="1"/>
      <c r="I39" s="1"/>
      <c r="J39" s="1"/>
      <c r="K39" s="42"/>
      <c r="L39" s="7"/>
    </row>
    <row r="40" spans="2:12" ht="12.75">
      <c r="B40" s="1" t="s">
        <v>70</v>
      </c>
      <c r="C40" s="3" t="s">
        <v>36</v>
      </c>
      <c r="D40" s="3" t="s">
        <v>71</v>
      </c>
      <c r="E40" s="1"/>
      <c r="F40" s="1"/>
      <c r="G40" s="1"/>
      <c r="H40" s="1"/>
      <c r="I40" s="1"/>
      <c r="J40" s="1"/>
      <c r="K40" s="42"/>
      <c r="L40" s="7"/>
    </row>
    <row r="41" spans="2:12" ht="12.75">
      <c r="B41" s="1" t="s">
        <v>72</v>
      </c>
      <c r="C41" s="3" t="s">
        <v>73</v>
      </c>
      <c r="D41" s="3"/>
      <c r="E41" s="1"/>
      <c r="F41" s="1">
        <v>30500</v>
      </c>
      <c r="G41" s="1">
        <v>21297.8</v>
      </c>
      <c r="H41" s="1">
        <v>9202.2</v>
      </c>
      <c r="I41" s="1">
        <f>G41/G22*C5</f>
        <v>633.6676204067344</v>
      </c>
      <c r="J41" s="30">
        <f>I41/C5/12</f>
        <v>0.01794523042000086</v>
      </c>
      <c r="K41" s="42">
        <f>J41*C5*2</f>
        <v>105.61127006778906</v>
      </c>
      <c r="L41" s="7">
        <f>J41*C5*5</f>
        <v>264.02817516947266</v>
      </c>
    </row>
    <row r="42" spans="2:12" ht="12.75">
      <c r="B42" s="1"/>
      <c r="C42" s="4" t="s">
        <v>60</v>
      </c>
      <c r="D42" s="4"/>
      <c r="E42" s="2"/>
      <c r="F42" s="2">
        <v>1294367.4</v>
      </c>
      <c r="G42" s="2">
        <v>911819.85</v>
      </c>
      <c r="H42" s="2">
        <v>382547.6</v>
      </c>
      <c r="I42" s="2">
        <f>SUM(I35:I41)</f>
        <v>77487.24669670797</v>
      </c>
      <c r="J42" s="31">
        <f>SUM(J35:J41)</f>
        <v>2.194409895350709</v>
      </c>
      <c r="K42" s="43">
        <f>SUM(K35:K41)</f>
        <v>12914.541116117993</v>
      </c>
      <c r="L42" s="6">
        <f>SUM(L35:L41)</f>
        <v>32286.352790294975</v>
      </c>
    </row>
    <row r="43" spans="2:12" ht="12.75">
      <c r="B43" s="1" t="s">
        <v>74</v>
      </c>
      <c r="C43" s="4" t="s">
        <v>37</v>
      </c>
      <c r="D43" s="4"/>
      <c r="E43" s="2"/>
      <c r="F43" s="2">
        <v>5004925.7</v>
      </c>
      <c r="G43" s="2">
        <v>3548598.7</v>
      </c>
      <c r="H43" s="2">
        <v>1456327</v>
      </c>
      <c r="I43" s="2">
        <f>G43/G22*C5</f>
        <v>105580.48690509966</v>
      </c>
      <c r="J43" s="31">
        <f>I43/C5/12</f>
        <v>2.9899999689928314</v>
      </c>
      <c r="K43" s="43">
        <f>J43*C5*2</f>
        <v>17596.74781751661</v>
      </c>
      <c r="L43" s="6">
        <f>J43*C5*5</f>
        <v>43991.86954379153</v>
      </c>
    </row>
    <row r="44" spans="2:12" ht="38.25">
      <c r="B44" s="1" t="s">
        <v>75</v>
      </c>
      <c r="C44" s="4" t="s">
        <v>38</v>
      </c>
      <c r="D44" s="4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</row>
    <row r="45" spans="2:12" ht="63.75">
      <c r="B45" s="1" t="s">
        <v>76</v>
      </c>
      <c r="C45" s="3" t="s">
        <v>77</v>
      </c>
      <c r="D45" s="3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11595.884192066762</v>
      </c>
      <c r="J45" s="30">
        <f>I45/C5/12</f>
        <v>0.3283911108109258</v>
      </c>
      <c r="K45" s="42">
        <f>J45*C5*2</f>
        <v>1932.6473653444605</v>
      </c>
      <c r="L45" s="7">
        <f>J45*C5*5</f>
        <v>4831.618413361151</v>
      </c>
    </row>
    <row r="46" spans="2:12" ht="51">
      <c r="B46" s="1" t="s">
        <v>78</v>
      </c>
      <c r="C46" s="3" t="s">
        <v>79</v>
      </c>
      <c r="D46" s="3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3942.5933061319574</v>
      </c>
      <c r="J46" s="30">
        <f>I46/C5/12</f>
        <v>0.11165277039953209</v>
      </c>
      <c r="K46" s="42">
        <f>J46*C5*2</f>
        <v>657.0988843553262</v>
      </c>
      <c r="L46" s="7">
        <f>J46*C5*5</f>
        <v>1642.7472108883153</v>
      </c>
    </row>
    <row r="47" spans="2:12" ht="89.25">
      <c r="B47" s="1" t="s">
        <v>80</v>
      </c>
      <c r="C47" s="29" t="s">
        <v>129</v>
      </c>
      <c r="D47" s="3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2316.7793637045856</v>
      </c>
      <c r="J47" s="30">
        <f>I47/C5/12</f>
        <v>0.06561032657356831</v>
      </c>
      <c r="K47" s="42">
        <f>J47*C5*2</f>
        <v>386.12989395076426</v>
      </c>
      <c r="L47" s="7">
        <f>J47*C5*5</f>
        <v>965.3247348769106</v>
      </c>
    </row>
    <row r="48" spans="2:12" ht="12.75">
      <c r="B48" s="1"/>
      <c r="C48" s="3"/>
      <c r="D48" s="3"/>
      <c r="E48" s="1"/>
      <c r="F48" s="1"/>
      <c r="G48" s="1"/>
      <c r="H48" s="1"/>
      <c r="I48" s="1"/>
      <c r="J48" s="1"/>
      <c r="K48" s="42"/>
      <c r="L48" s="7"/>
    </row>
    <row r="49" spans="2:12" ht="12.75">
      <c r="B49" s="1"/>
      <c r="C49" s="3"/>
      <c r="D49" s="3" t="s">
        <v>71</v>
      </c>
      <c r="E49" s="1"/>
      <c r="F49" s="1"/>
      <c r="G49" s="1"/>
      <c r="H49" s="1"/>
      <c r="I49" s="1"/>
      <c r="J49" s="1"/>
      <c r="K49" s="42"/>
      <c r="L49" s="7"/>
    </row>
    <row r="50" spans="2:12" ht="12.75">
      <c r="B50" s="1"/>
      <c r="C50" s="4" t="s">
        <v>60</v>
      </c>
      <c r="D50" s="4"/>
      <c r="E50" s="2"/>
      <c r="F50" s="2">
        <v>859417.1</v>
      </c>
      <c r="G50" s="2">
        <v>600121.9</v>
      </c>
      <c r="H50" s="2">
        <v>259295.1</v>
      </c>
      <c r="I50" s="2">
        <f>SUM(I45:I49)</f>
        <v>17855.256861903305</v>
      </c>
      <c r="J50" s="31">
        <f>SUM(J45:J49)</f>
        <v>0.5056542077840263</v>
      </c>
      <c r="K50" s="43">
        <f>SUM(K45:K49)</f>
        <v>2975.876143650551</v>
      </c>
      <c r="L50" s="6">
        <f>SUM(L45:L49)</f>
        <v>7439.690359126378</v>
      </c>
    </row>
    <row r="51" spans="2:12" ht="38.25">
      <c r="B51" s="1" t="s">
        <v>81</v>
      </c>
      <c r="C51" s="4" t="s">
        <v>39</v>
      </c>
      <c r="D51" s="4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</row>
    <row r="52" spans="2:12" ht="25.5">
      <c r="B52" s="1" t="s">
        <v>82</v>
      </c>
      <c r="C52" s="3" t="s">
        <v>83</v>
      </c>
      <c r="D52" s="3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13868.38257278478</v>
      </c>
      <c r="J52" s="30">
        <f>I52/C5/12</f>
        <v>0.3927474164793261</v>
      </c>
      <c r="K52" s="42">
        <f>J52*C5*2</f>
        <v>2311.39709546413</v>
      </c>
      <c r="L52" s="7">
        <f>J52*C5*5</f>
        <v>5778.492738660325</v>
      </c>
    </row>
    <row r="53" spans="2:12" ht="38.25">
      <c r="B53" s="1" t="s">
        <v>84</v>
      </c>
      <c r="C53" s="3" t="s">
        <v>85</v>
      </c>
      <c r="D53" s="3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4715.250788812263</v>
      </c>
      <c r="J53" s="30">
        <f>I53/C5/12</f>
        <v>0.13353414182503745</v>
      </c>
      <c r="K53" s="42">
        <f>J53*C5*2</f>
        <v>785.8751314687104</v>
      </c>
      <c r="L53" s="7">
        <f>J53*C5*5</f>
        <v>1964.687828671776</v>
      </c>
    </row>
    <row r="54" spans="2:12" ht="51">
      <c r="B54" s="1" t="s">
        <v>86</v>
      </c>
      <c r="C54" s="3" t="s">
        <v>87</v>
      </c>
      <c r="D54" s="3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9267.114479545682</v>
      </c>
      <c r="J54" s="30">
        <f>I54/C5/12</f>
        <v>0.2624412220356624</v>
      </c>
      <c r="K54" s="42">
        <f>J54*C5*2</f>
        <v>1544.5190799242803</v>
      </c>
      <c r="L54" s="7">
        <f>J54*C5*5</f>
        <v>3861.2976998107006</v>
      </c>
    </row>
    <row r="55" spans="2:12" ht="25.5">
      <c r="B55" s="1" t="s">
        <v>88</v>
      </c>
      <c r="C55" s="3" t="s">
        <v>130</v>
      </c>
      <c r="D55" s="3"/>
      <c r="E55" s="1"/>
      <c r="F55" s="1"/>
      <c r="G55" s="1"/>
      <c r="H55" s="1"/>
      <c r="I55" s="1"/>
      <c r="J55" s="1"/>
      <c r="K55" s="42"/>
      <c r="L55" s="7"/>
    </row>
    <row r="56" spans="2:12" ht="38.25">
      <c r="B56" s="1" t="s">
        <v>89</v>
      </c>
      <c r="C56" s="3" t="s">
        <v>90</v>
      </c>
      <c r="D56" s="3" t="s">
        <v>71</v>
      </c>
      <c r="E56" s="1"/>
      <c r="F56" s="1"/>
      <c r="G56" s="1"/>
      <c r="H56" s="1"/>
      <c r="I56" s="1"/>
      <c r="J56" s="1"/>
      <c r="K56" s="42"/>
      <c r="L56" s="7"/>
    </row>
    <row r="57" spans="2:12" ht="63.75">
      <c r="B57" s="1" t="s">
        <v>91</v>
      </c>
      <c r="C57" s="3" t="s">
        <v>92</v>
      </c>
      <c r="D57" s="3"/>
      <c r="E57" s="1"/>
      <c r="F57" s="1"/>
      <c r="G57" s="1"/>
      <c r="H57" s="1"/>
      <c r="I57" s="1"/>
      <c r="J57" s="1"/>
      <c r="K57" s="42"/>
      <c r="L57" s="7"/>
    </row>
    <row r="58" spans="2:12" ht="25.5">
      <c r="B58" s="1" t="s">
        <v>93</v>
      </c>
      <c r="C58" s="3" t="s">
        <v>94</v>
      </c>
      <c r="D58" s="3"/>
      <c r="E58" s="1"/>
      <c r="F58" s="1"/>
      <c r="G58" s="1"/>
      <c r="H58" s="1"/>
      <c r="I58" s="1"/>
      <c r="J58" s="1"/>
      <c r="K58" s="42"/>
      <c r="L58" s="7"/>
    </row>
    <row r="59" spans="2:12" ht="12.75">
      <c r="B59" s="1"/>
      <c r="C59" s="4" t="s">
        <v>60</v>
      </c>
      <c r="D59" s="4"/>
      <c r="E59" s="2"/>
      <c r="F59" s="2">
        <v>1340523.8</v>
      </c>
      <c r="G59" s="2">
        <v>936073.8</v>
      </c>
      <c r="H59" s="2">
        <v>404450.1</v>
      </c>
      <c r="I59" s="2">
        <f>SUM(I52:I58)</f>
        <v>27850.747841142726</v>
      </c>
      <c r="J59" s="31">
        <f>SUM(J52:J58)</f>
        <v>0.7887227803400259</v>
      </c>
      <c r="K59" s="43">
        <f>SUM(K52:K58)</f>
        <v>4641.791306857121</v>
      </c>
      <c r="L59" s="6">
        <f>SUM(L52:L58)</f>
        <v>11604.478267142802</v>
      </c>
    </row>
    <row r="60" spans="2:12" ht="38.25">
      <c r="B60" s="1" t="s">
        <v>95</v>
      </c>
      <c r="C60" s="4" t="s">
        <v>481</v>
      </c>
      <c r="D60" s="4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</row>
    <row r="61" spans="2:12" ht="25.5">
      <c r="B61" s="1" t="s">
        <v>96</v>
      </c>
      <c r="C61" s="3" t="s">
        <v>97</v>
      </c>
      <c r="D61" s="3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63016.99791267828</v>
      </c>
      <c r="J61" s="30">
        <f>I61/C5/12</f>
        <v>1.7846178524852816</v>
      </c>
      <c r="K61" s="42">
        <f>J61*C5*2</f>
        <v>10502.83298544638</v>
      </c>
      <c r="L61" s="7">
        <f>J61*C5*5</f>
        <v>26257.08246361595</v>
      </c>
    </row>
    <row r="62" spans="2:12" ht="12.75">
      <c r="B62" s="1" t="s">
        <v>98</v>
      </c>
      <c r="C62" s="3" t="s">
        <v>99</v>
      </c>
      <c r="D62" s="3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21425.780420914227</v>
      </c>
      <c r="J62" s="30">
        <f>I62/C5/12</f>
        <v>0.606770101863268</v>
      </c>
      <c r="K62" s="42">
        <f>J62*C5*2</f>
        <v>3570.9634034857045</v>
      </c>
      <c r="L62" s="7">
        <f>J62*C5*5</f>
        <v>8927.408508714261</v>
      </c>
    </row>
    <row r="63" spans="2:12" ht="12.75">
      <c r="B63" s="1" t="s">
        <v>100</v>
      </c>
      <c r="C63" s="3" t="s">
        <v>452</v>
      </c>
      <c r="D63" s="3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14949.067058597278</v>
      </c>
      <c r="J63" s="30">
        <f>I63/C5/12</f>
        <v>0.4233519976267382</v>
      </c>
      <c r="K63" s="42">
        <f>J63*C5*2</f>
        <v>2491.5111764328794</v>
      </c>
      <c r="L63" s="7">
        <f>J63*C5*5</f>
        <v>6228.777941082199</v>
      </c>
    </row>
    <row r="64" spans="2:12" ht="25.5">
      <c r="B64" s="1" t="s">
        <v>102</v>
      </c>
      <c r="C64" s="3" t="s">
        <v>103</v>
      </c>
      <c r="D64" s="3"/>
      <c r="E64" s="1"/>
      <c r="F64" s="1"/>
      <c r="G64" s="1"/>
      <c r="H64" s="1"/>
      <c r="I64" s="1"/>
      <c r="J64" s="30"/>
      <c r="K64" s="42"/>
      <c r="L64" s="7"/>
    </row>
    <row r="65" spans="2:12" ht="51">
      <c r="B65" s="1" t="s">
        <v>104</v>
      </c>
      <c r="C65" s="4" t="s">
        <v>348</v>
      </c>
      <c r="D65" s="3" t="s">
        <v>71</v>
      </c>
      <c r="E65" s="1"/>
      <c r="F65" s="1"/>
      <c r="G65" s="1"/>
      <c r="H65" s="1"/>
      <c r="I65" s="1"/>
      <c r="J65" s="30"/>
      <c r="K65" s="42"/>
      <c r="L65" s="7"/>
    </row>
    <row r="66" spans="2:12" ht="38.25">
      <c r="B66" s="1" t="s">
        <v>105</v>
      </c>
      <c r="C66" s="3" t="s">
        <v>106</v>
      </c>
      <c r="D66" s="3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>
        <f>G66/5*C12</f>
        <v>13085.22</v>
      </c>
      <c r="J66" s="30">
        <f>I66/C5/12</f>
        <v>0.370568544824305</v>
      </c>
      <c r="K66" s="42">
        <f>J66*C5*2</f>
        <v>2180.87</v>
      </c>
      <c r="L66" s="7">
        <f>J66*C5*5</f>
        <v>5452.174999999999</v>
      </c>
    </row>
    <row r="67" spans="2:12" ht="12.75">
      <c r="B67" s="1"/>
      <c r="C67" s="4" t="s">
        <v>60</v>
      </c>
      <c r="D67" s="4"/>
      <c r="E67" s="2"/>
      <c r="F67" s="2">
        <v>4855938.6</v>
      </c>
      <c r="G67" s="2">
        <v>3373309.1</v>
      </c>
      <c r="H67" s="2">
        <v>1482629.5</v>
      </c>
      <c r="I67" s="2">
        <f>SUM(I61:I66)</f>
        <v>112477.06539218979</v>
      </c>
      <c r="J67" s="31">
        <f>SUM(J61:J66)</f>
        <v>3.1853084967995926</v>
      </c>
      <c r="K67" s="43">
        <f>SUM(K61:K66)</f>
        <v>18746.177565364964</v>
      </c>
      <c r="L67" s="6">
        <f>SUM(L61:L66)</f>
        <v>46865.44391341241</v>
      </c>
    </row>
    <row r="68" spans="2:12" ht="12.75">
      <c r="B68" s="1" t="s">
        <v>109</v>
      </c>
      <c r="C68" s="4" t="s">
        <v>482</v>
      </c>
      <c r="D68" s="4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</row>
    <row r="69" spans="2:12" ht="51">
      <c r="B69" s="1" t="s">
        <v>110</v>
      </c>
      <c r="C69" s="3" t="s">
        <v>483</v>
      </c>
      <c r="D69" s="3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5774.150328214251</v>
      </c>
      <c r="J69" s="30">
        <f>I69/C5/12</f>
        <v>0.1635217814238613</v>
      </c>
      <c r="K69" s="42">
        <f>J69*C5*2</f>
        <v>962.3583880357086</v>
      </c>
      <c r="L69" s="7">
        <f>J69*C5*5</f>
        <v>2405.8959700892715</v>
      </c>
    </row>
    <row r="70" spans="2:12" ht="12.75">
      <c r="B70" s="1"/>
      <c r="C70" s="3"/>
      <c r="D70" s="3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1963.212837250988</v>
      </c>
      <c r="J70" s="30">
        <f>I70/C5/12</f>
        <v>0.05559745455410714</v>
      </c>
      <c r="K70" s="42">
        <f>J70*C5*2</f>
        <v>327.20213954183134</v>
      </c>
      <c r="L70" s="7">
        <f>J70*C5*5</f>
        <v>818.0053488545784</v>
      </c>
    </row>
    <row r="71" spans="2:12" ht="12.75">
      <c r="B71" s="1"/>
      <c r="C71" s="3"/>
      <c r="D71" s="3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1661.002492167488</v>
      </c>
      <c r="J71" s="30">
        <f>I71/C5/12</f>
        <v>0.04703897041639729</v>
      </c>
      <c r="K71" s="42">
        <f>J71*C5*2</f>
        <v>276.83374869458135</v>
      </c>
      <c r="L71" s="7">
        <f>J71*C5*5</f>
        <v>692.0843717364534</v>
      </c>
    </row>
    <row r="72" spans="2:12" ht="25.5">
      <c r="B72" s="1"/>
      <c r="C72" s="3"/>
      <c r="D72" s="3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10240.248809274162</v>
      </c>
      <c r="J72" s="30">
        <f>I72/C5/12</f>
        <v>0.29000002291834215</v>
      </c>
      <c r="K72" s="42">
        <f>J72*C5*2</f>
        <v>1706.708134879027</v>
      </c>
      <c r="L72" s="7">
        <f>J72*C5*5</f>
        <v>4266.770337197568</v>
      </c>
    </row>
    <row r="73" spans="2:12" ht="12.75">
      <c r="B73" s="1"/>
      <c r="C73" s="3"/>
      <c r="D73" s="3"/>
      <c r="E73" s="1"/>
      <c r="F73" s="1"/>
      <c r="G73" s="1"/>
      <c r="H73" s="1"/>
      <c r="I73" s="1"/>
      <c r="J73" s="30"/>
      <c r="K73" s="42"/>
      <c r="L73" s="7"/>
    </row>
    <row r="74" spans="2:12" ht="12.75">
      <c r="B74" s="1"/>
      <c r="C74" s="4" t="s">
        <v>60</v>
      </c>
      <c r="D74" s="4"/>
      <c r="E74" s="2"/>
      <c r="F74" s="2">
        <v>1334975.3</v>
      </c>
      <c r="G74" s="2">
        <v>660060.9</v>
      </c>
      <c r="H74" s="2">
        <v>674914.3</v>
      </c>
      <c r="I74" s="2">
        <f>SUM(I69:I73)</f>
        <v>19638.61446690689</v>
      </c>
      <c r="J74" s="31">
        <f>SUM(J69:J73)</f>
        <v>0.5561582293127079</v>
      </c>
      <c r="K74" s="43">
        <f>SUM(K69:K73)</f>
        <v>3273.1024111511483</v>
      </c>
      <c r="L74" s="6">
        <f>SUM(L69:L73)</f>
        <v>8182.756027877871</v>
      </c>
    </row>
    <row r="75" spans="2:12" ht="12.75">
      <c r="B75" s="1" t="s">
        <v>113</v>
      </c>
      <c r="C75" s="4" t="s">
        <v>484</v>
      </c>
      <c r="D75" s="4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</row>
    <row r="76" spans="2:12" ht="12.75">
      <c r="B76" s="1"/>
      <c r="C76" s="3" t="s">
        <v>114</v>
      </c>
      <c r="D76" s="3"/>
      <c r="E76" s="1"/>
      <c r="F76" s="1">
        <v>1431000</v>
      </c>
      <c r="G76" s="1"/>
      <c r="H76" s="1">
        <v>1431000</v>
      </c>
      <c r="I76" s="1"/>
      <c r="J76" s="1"/>
      <c r="K76" s="1"/>
      <c r="L76" s="7"/>
    </row>
    <row r="77" spans="2:12" ht="12.75">
      <c r="B77" s="1"/>
      <c r="C77" s="3" t="s">
        <v>115</v>
      </c>
      <c r="D77" s="3"/>
      <c r="E77" s="1"/>
      <c r="F77" s="1">
        <v>169212</v>
      </c>
      <c r="G77" s="1"/>
      <c r="H77" s="1">
        <v>169212</v>
      </c>
      <c r="I77" s="1"/>
      <c r="J77" s="1"/>
      <c r="K77" s="1"/>
      <c r="L77" s="7"/>
    </row>
    <row r="78" spans="2:12" ht="12.75">
      <c r="B78" s="1" t="s">
        <v>116</v>
      </c>
      <c r="C78" s="3" t="s">
        <v>485</v>
      </c>
      <c r="D78" s="3"/>
      <c r="E78" s="1"/>
      <c r="F78" s="1"/>
      <c r="G78" s="1"/>
      <c r="H78" s="1"/>
      <c r="I78" s="1"/>
      <c r="J78" s="1"/>
      <c r="K78" s="1"/>
      <c r="L78" s="7"/>
    </row>
    <row r="79" spans="2:12" ht="12.75">
      <c r="B79" s="1"/>
      <c r="C79" s="3"/>
      <c r="D79" s="3"/>
      <c r="E79" s="1"/>
      <c r="F79" s="1"/>
      <c r="G79" s="1"/>
      <c r="H79" s="1"/>
      <c r="I79" s="1"/>
      <c r="J79" s="1"/>
      <c r="K79" s="1"/>
      <c r="L79" s="7"/>
    </row>
    <row r="80" spans="2:12" ht="12.75">
      <c r="B80" s="2" t="s">
        <v>117</v>
      </c>
      <c r="C80" s="4"/>
      <c r="D80" s="4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411057.64465312206</v>
      </c>
      <c r="J80" s="31">
        <f>J33+J42+J43+J50+J59+J67+J74</f>
        <v>11.640999021645316</v>
      </c>
      <c r="K80" s="43">
        <f>K33+K42+K43+K50+K59+K67+K74</f>
        <v>68509.60744218701</v>
      </c>
      <c r="L80" s="6">
        <f>L33+L42+L43+L50+L59+L67+L74</f>
        <v>171274.01860546754</v>
      </c>
    </row>
    <row r="81" spans="2:12" ht="12.75">
      <c r="B81" s="1"/>
      <c r="C81" s="3" t="s">
        <v>118</v>
      </c>
      <c r="D81" s="3"/>
      <c r="E81" s="1"/>
      <c r="F81" s="1">
        <v>1724360</v>
      </c>
      <c r="G81" s="1">
        <v>1204102.5</v>
      </c>
      <c r="H81" s="1">
        <v>520257.5</v>
      </c>
      <c r="I81" s="1">
        <f>G81/G80*I80</f>
        <v>43031.99717014736</v>
      </c>
      <c r="J81" s="30">
        <f>I81/C5/12</f>
        <v>1.218650093175745</v>
      </c>
      <c r="K81" s="42">
        <f>J81*C5*2</f>
        <v>7171.999528357894</v>
      </c>
      <c r="L81" s="7">
        <f>J81*C5*5</f>
        <v>17929.998820894732</v>
      </c>
    </row>
    <row r="82" spans="2:12" ht="25.5">
      <c r="B82" s="1"/>
      <c r="C82" s="3" t="s">
        <v>119</v>
      </c>
      <c r="D82" s="3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115207.53171083168</v>
      </c>
      <c r="J82" s="30">
        <f>I82/C5/12</f>
        <v>3.26263428348036</v>
      </c>
      <c r="K82" s="42">
        <f>J82*C5*2</f>
        <v>19201.255285138614</v>
      </c>
      <c r="L82" s="7">
        <f>J82*C5*5</f>
        <v>48003.138212846534</v>
      </c>
    </row>
    <row r="83" spans="2:12" ht="12.75">
      <c r="B83" s="2" t="s">
        <v>590</v>
      </c>
      <c r="C83" s="4"/>
      <c r="D83" s="4"/>
      <c r="E83" s="2"/>
      <c r="F83" s="2">
        <v>26668865.67</v>
      </c>
      <c r="G83" s="2">
        <v>15929824.3</v>
      </c>
      <c r="H83" s="2">
        <v>10739041.4</v>
      </c>
      <c r="I83" s="2">
        <f>I80+I81+I82</f>
        <v>569297.1735341011</v>
      </c>
      <c r="J83" s="31">
        <f>J80+J81+J82</f>
        <v>16.12228339830142</v>
      </c>
      <c r="K83" s="43">
        <f>SUM(K80:K82)</f>
        <v>94882.86225568352</v>
      </c>
      <c r="L83" s="6">
        <f>SUM(L80:L82)</f>
        <v>237207.1556392088</v>
      </c>
    </row>
    <row r="84" spans="2:12" ht="12.75">
      <c r="B84" s="1" t="s">
        <v>120</v>
      </c>
      <c r="C84" s="3"/>
      <c r="D84" s="3"/>
      <c r="E84" s="1"/>
      <c r="F84" s="1">
        <v>1333443.28</v>
      </c>
      <c r="G84" s="1">
        <v>796491.2</v>
      </c>
      <c r="H84" s="1">
        <v>536952.07</v>
      </c>
      <c r="I84" s="1">
        <f>G84/G83*I83</f>
        <v>28464.85814063777</v>
      </c>
      <c r="J84" s="30"/>
      <c r="K84" s="42"/>
      <c r="L84" s="7"/>
    </row>
    <row r="85" spans="2:12" ht="25.5">
      <c r="B85" s="1"/>
      <c r="C85" s="4" t="s">
        <v>121</v>
      </c>
      <c r="D85" s="4"/>
      <c r="E85" s="2"/>
      <c r="F85" s="2">
        <v>28002308.95</v>
      </c>
      <c r="G85" s="2">
        <v>16726315.5</v>
      </c>
      <c r="H85" s="2">
        <v>11275993.5</v>
      </c>
      <c r="I85" s="2">
        <f>I83+I84</f>
        <v>597762.0316747389</v>
      </c>
      <c r="J85" s="31">
        <f>J83+J84</f>
        <v>16.12228339830142</v>
      </c>
      <c r="K85" s="43">
        <f>K83+K84</f>
        <v>94882.86225568352</v>
      </c>
      <c r="L85" s="6">
        <f>L83+L84</f>
        <v>237207.1556392088</v>
      </c>
    </row>
    <row r="86" spans="2:12" ht="12.75">
      <c r="B86" s="1"/>
      <c r="C86" s="3"/>
      <c r="D86" s="3"/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3" t="s">
        <v>514</v>
      </c>
      <c r="D87" s="3"/>
      <c r="E87" s="1"/>
      <c r="F87" s="1"/>
      <c r="G87" s="1"/>
      <c r="H87" s="1"/>
      <c r="I87" s="1"/>
      <c r="J87" s="1">
        <v>16.8</v>
      </c>
      <c r="K87" s="1"/>
      <c r="L87" s="1"/>
    </row>
    <row r="88" spans="2:12" ht="12.75">
      <c r="B88" s="1"/>
      <c r="C88" s="3"/>
      <c r="D88" s="3"/>
      <c r="E88" s="1"/>
      <c r="F88" s="1"/>
      <c r="G88" s="1"/>
      <c r="H88" s="1"/>
      <c r="I88" s="1"/>
      <c r="J88" s="1">
        <v>3.5</v>
      </c>
      <c r="K88" s="1"/>
      <c r="L88" s="1"/>
    </row>
    <row r="89" spans="2:1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mergeCells count="14">
    <mergeCell ref="F14:F18"/>
    <mergeCell ref="G14:H14"/>
    <mergeCell ref="I14:J14"/>
    <mergeCell ref="K14:L14"/>
    <mergeCell ref="G15:G18"/>
    <mergeCell ref="H15:H18"/>
    <mergeCell ref="I15:I18"/>
    <mergeCell ref="J15:J18"/>
    <mergeCell ref="K15:K18"/>
    <mergeCell ref="L15:L18"/>
    <mergeCell ref="B14:B18"/>
    <mergeCell ref="C14:C18"/>
    <mergeCell ref="D14:D18"/>
    <mergeCell ref="E14:E1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L100"/>
  <sheetViews>
    <sheetView workbookViewId="0" topLeftCell="A4">
      <pane xSplit="1" ySplit="14" topLeftCell="B42" activePane="bottomRight" state="frozen"/>
      <selection pane="topLeft" activeCell="A4" sqref="A4"/>
      <selection pane="topRight" activeCell="B4" sqref="B4"/>
      <selection pane="bottomLeft" activeCell="A18" sqref="A18"/>
      <selection pane="bottomRight" activeCell="O15" sqref="O15:O16"/>
    </sheetView>
  </sheetViews>
  <sheetFormatPr defaultColWidth="9.140625" defaultRowHeight="12.75"/>
  <cols>
    <col min="3" max="3" width="29.421875" style="0" customWidth="1"/>
    <col min="4" max="4" width="16.7109375" style="0" customWidth="1"/>
    <col min="5" max="5" width="10.140625" style="0" hidden="1" customWidth="1"/>
    <col min="6" max="6" width="11.28125" style="0" hidden="1" customWidth="1"/>
    <col min="7" max="7" width="12.8515625" style="0" hidden="1" customWidth="1"/>
    <col min="8" max="9" width="0" style="0" hidden="1" customWidth="1"/>
    <col min="11" max="11" width="10.7109375" style="0" customWidth="1"/>
    <col min="12" max="12" width="15.140625" style="0" customWidth="1"/>
  </cols>
  <sheetData>
    <row r="4" spans="2:3" ht="12.75">
      <c r="B4" s="5" t="s">
        <v>487</v>
      </c>
      <c r="C4" s="5" t="s">
        <v>178</v>
      </c>
    </row>
    <row r="5" spans="2:3" ht="12.75">
      <c r="B5" t="s">
        <v>488</v>
      </c>
      <c r="C5">
        <v>2451.8</v>
      </c>
    </row>
    <row r="6" spans="2:3" ht="12.75">
      <c r="B6" t="s">
        <v>489</v>
      </c>
      <c r="C6">
        <v>1946</v>
      </c>
    </row>
    <row r="7" spans="2:3" ht="12.75">
      <c r="B7" t="s">
        <v>490</v>
      </c>
      <c r="C7">
        <v>1527.6</v>
      </c>
    </row>
    <row r="8" spans="2:3" ht="12.75">
      <c r="B8" t="s">
        <v>491</v>
      </c>
      <c r="C8">
        <v>384.3</v>
      </c>
    </row>
    <row r="9" spans="2:3" ht="12.75">
      <c r="B9" t="s">
        <v>492</v>
      </c>
      <c r="C9">
        <v>1</v>
      </c>
    </row>
    <row r="10" spans="2:3" ht="12.75">
      <c r="B10" t="s">
        <v>493</v>
      </c>
      <c r="C10">
        <v>40</v>
      </c>
    </row>
    <row r="11" spans="2:3" ht="12.75">
      <c r="B11" t="s">
        <v>516</v>
      </c>
      <c r="C11">
        <v>1</v>
      </c>
    </row>
    <row r="12" ht="12.75">
      <c r="B12" s="24"/>
    </row>
    <row r="13" spans="2:12" ht="12.75">
      <c r="B13" s="74" t="s">
        <v>40</v>
      </c>
      <c r="C13" s="74" t="s">
        <v>22</v>
      </c>
      <c r="D13" s="74" t="s">
        <v>41</v>
      </c>
      <c r="E13" s="74" t="s">
        <v>42</v>
      </c>
      <c r="F13" s="74" t="s">
        <v>43</v>
      </c>
      <c r="G13" s="74" t="s">
        <v>44</v>
      </c>
      <c r="H13" s="74"/>
      <c r="I13" s="79" t="s">
        <v>123</v>
      </c>
      <c r="J13" s="79"/>
      <c r="K13" s="74" t="s">
        <v>131</v>
      </c>
      <c r="L13" s="74"/>
    </row>
    <row r="14" spans="2:12" ht="12.75">
      <c r="B14" s="74"/>
      <c r="C14" s="74"/>
      <c r="D14" s="74"/>
      <c r="E14" s="74"/>
      <c r="F14" s="74"/>
      <c r="G14" s="74" t="s">
        <v>122</v>
      </c>
      <c r="H14" s="74" t="s">
        <v>45</v>
      </c>
      <c r="I14" s="74" t="s">
        <v>124</v>
      </c>
      <c r="J14" s="74" t="s">
        <v>125</v>
      </c>
      <c r="K14" s="80" t="s">
        <v>179</v>
      </c>
      <c r="L14" s="74" t="s">
        <v>375</v>
      </c>
    </row>
    <row r="15" spans="2:12" ht="12.75">
      <c r="B15" s="74"/>
      <c r="C15" s="74"/>
      <c r="D15" s="74"/>
      <c r="E15" s="74"/>
      <c r="F15" s="74"/>
      <c r="G15" s="74"/>
      <c r="H15" s="74"/>
      <c r="I15" s="74"/>
      <c r="J15" s="74"/>
      <c r="K15" s="80"/>
      <c r="L15" s="74"/>
    </row>
    <row r="16" spans="2:12" ht="12.75">
      <c r="B16" s="74"/>
      <c r="C16" s="74"/>
      <c r="D16" s="74"/>
      <c r="E16" s="74"/>
      <c r="F16" s="74"/>
      <c r="G16" s="74"/>
      <c r="H16" s="74"/>
      <c r="I16" s="74"/>
      <c r="J16" s="74"/>
      <c r="K16" s="80"/>
      <c r="L16" s="74"/>
    </row>
    <row r="17" spans="2:12" ht="12.75">
      <c r="B17" s="74"/>
      <c r="C17" s="74"/>
      <c r="D17" s="74"/>
      <c r="E17" s="74"/>
      <c r="F17" s="74"/>
      <c r="G17" s="74"/>
      <c r="H17" s="74"/>
      <c r="I17" s="74"/>
      <c r="J17" s="74"/>
      <c r="K17" s="80"/>
      <c r="L17" s="74"/>
    </row>
    <row r="18" spans="2:1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2.75">
      <c r="B21" s="1"/>
      <c r="C21" s="4" t="s">
        <v>46</v>
      </c>
      <c r="D21" s="2"/>
      <c r="E21" s="2">
        <v>141634.46</v>
      </c>
      <c r="F21" s="2"/>
      <c r="G21" s="2">
        <v>98901.86</v>
      </c>
      <c r="H21" s="2">
        <v>42732.6</v>
      </c>
      <c r="I21" s="1"/>
      <c r="J21" s="1"/>
      <c r="K21" s="1"/>
      <c r="L21" s="1"/>
    </row>
    <row r="22" spans="2:12" ht="12.75">
      <c r="B22" s="1"/>
      <c r="C22" s="3"/>
      <c r="D22" s="3"/>
      <c r="E22" s="1"/>
      <c r="F22" s="1"/>
      <c r="G22" s="1"/>
      <c r="H22" s="1"/>
      <c r="I22" s="1"/>
      <c r="J22" s="1"/>
      <c r="K22" s="1"/>
      <c r="L22" s="1"/>
    </row>
    <row r="23" spans="2:12" ht="12.75">
      <c r="B23" s="1" t="s">
        <v>47</v>
      </c>
      <c r="C23" s="4" t="s">
        <v>23</v>
      </c>
      <c r="D23" s="4"/>
      <c r="E23" s="2"/>
      <c r="F23" s="2"/>
      <c r="G23" s="2"/>
      <c r="H23" s="2"/>
      <c r="I23" s="1"/>
      <c r="J23" s="1"/>
      <c r="K23" s="1"/>
      <c r="L23" s="1"/>
    </row>
    <row r="24" spans="2:12" ht="25.5">
      <c r="B24" s="1" t="s">
        <v>48</v>
      </c>
      <c r="C24" s="4" t="s">
        <v>24</v>
      </c>
      <c r="D24" s="4"/>
      <c r="E24" s="2">
        <v>17784</v>
      </c>
      <c r="F24" s="2"/>
      <c r="G24" s="2">
        <v>10809.7</v>
      </c>
      <c r="H24" s="2">
        <v>6974.3</v>
      </c>
      <c r="I24" s="1"/>
      <c r="J24" s="1"/>
      <c r="K24" s="1"/>
      <c r="L24" s="1"/>
    </row>
    <row r="25" spans="2:12" ht="38.25">
      <c r="B25" s="1" t="s">
        <v>49</v>
      </c>
      <c r="C25" s="3" t="s">
        <v>25</v>
      </c>
      <c r="D25" s="3"/>
      <c r="E25" s="1"/>
      <c r="F25" s="1"/>
      <c r="G25" s="1"/>
      <c r="H25" s="1"/>
      <c r="I25" s="1"/>
      <c r="J25" s="1"/>
      <c r="K25" s="1"/>
      <c r="L25" s="1"/>
    </row>
    <row r="26" spans="2:12" ht="38.25">
      <c r="B26" s="1" t="s">
        <v>50</v>
      </c>
      <c r="C26" s="3" t="s">
        <v>26</v>
      </c>
      <c r="D26" s="3" t="s">
        <v>51</v>
      </c>
      <c r="E26" s="1"/>
      <c r="F26" s="1">
        <v>2343012.48</v>
      </c>
      <c r="G26" s="1">
        <v>1045514.2</v>
      </c>
      <c r="H26" s="1">
        <v>1297498.3</v>
      </c>
      <c r="I26" s="1">
        <f>H26/H24*C8</f>
        <v>71495.14599171243</v>
      </c>
      <c r="J26" s="30">
        <f>I26/C5/12</f>
        <v>2.430022364239621</v>
      </c>
      <c r="K26" s="42">
        <f>J26*C5*2</f>
        <v>11915.857665285406</v>
      </c>
      <c r="L26" s="7">
        <f>J26*C5*5</f>
        <v>29789.644163213517</v>
      </c>
    </row>
    <row r="27" spans="2:12" ht="38.25">
      <c r="B27" s="1" t="s">
        <v>52</v>
      </c>
      <c r="C27" s="3" t="s">
        <v>27</v>
      </c>
      <c r="D27" s="3" t="s">
        <v>53</v>
      </c>
      <c r="E27" s="1"/>
      <c r="F27" s="1">
        <v>796624.2</v>
      </c>
      <c r="G27" s="1">
        <v>355474.8</v>
      </c>
      <c r="H27" s="1">
        <v>441149.4</v>
      </c>
      <c r="I27" s="1">
        <f>H27/H24*C8</f>
        <v>24308.348424931537</v>
      </c>
      <c r="J27" s="30">
        <f>I27/C5/12</f>
        <v>0.8262075626387259</v>
      </c>
      <c r="K27" s="42">
        <f>J27*C5*2</f>
        <v>4051.3914041552566</v>
      </c>
      <c r="L27" s="7">
        <f>J27*C5*5</f>
        <v>10128.478510388142</v>
      </c>
    </row>
    <row r="28" spans="2:12" ht="12.75">
      <c r="B28" s="1" t="s">
        <v>54</v>
      </c>
      <c r="C28" s="3" t="s">
        <v>28</v>
      </c>
      <c r="D28" s="3" t="s">
        <v>536</v>
      </c>
      <c r="E28" s="1"/>
      <c r="F28" s="1">
        <v>116909.87</v>
      </c>
      <c r="G28" s="1">
        <v>71061.7</v>
      </c>
      <c r="H28" s="1">
        <v>45848.2</v>
      </c>
      <c r="I28" s="1">
        <f>H28/H24*C8</f>
        <v>2526.3414622255996</v>
      </c>
      <c r="J28" s="30">
        <f>I28/C5/12</f>
        <v>0.08586689582570627</v>
      </c>
      <c r="K28" s="42">
        <f>J28*C5*2</f>
        <v>421.0569103709333</v>
      </c>
      <c r="L28" s="7">
        <f>J28*C5*5</f>
        <v>1052.6422759273332</v>
      </c>
    </row>
    <row r="29" spans="2:12" ht="12.75">
      <c r="B29" s="1" t="s">
        <v>55</v>
      </c>
      <c r="C29" s="3" t="s">
        <v>29</v>
      </c>
      <c r="D29" s="3"/>
      <c r="E29" s="1">
        <v>15</v>
      </c>
      <c r="F29" s="1"/>
      <c r="G29" s="1"/>
      <c r="H29" s="1"/>
      <c r="I29" s="1"/>
      <c r="J29" s="1"/>
      <c r="K29" s="42"/>
      <c r="L29" s="7"/>
    </row>
    <row r="30" spans="2:12" ht="38.25">
      <c r="B30" s="1" t="s">
        <v>56</v>
      </c>
      <c r="C30" s="3" t="s">
        <v>57</v>
      </c>
      <c r="D30" s="3" t="s">
        <v>228</v>
      </c>
      <c r="E30" s="1"/>
      <c r="F30" s="1">
        <v>674</v>
      </c>
      <c r="G30" s="1"/>
      <c r="H30" s="1">
        <v>674</v>
      </c>
      <c r="I30" s="1">
        <f>H30/H24*C8</f>
        <v>37.13895301320562</v>
      </c>
      <c r="J30" s="30">
        <f>I30/C5/12</f>
        <v>0.0012623022885636954</v>
      </c>
      <c r="K30" s="42">
        <f>J30*C5*2</f>
        <v>6.189825502200937</v>
      </c>
      <c r="L30" s="7">
        <f>J30*C5*5</f>
        <v>15.474563755502341</v>
      </c>
    </row>
    <row r="31" spans="2:12" ht="51">
      <c r="B31" s="1" t="s">
        <v>59</v>
      </c>
      <c r="C31" s="3" t="s">
        <v>30</v>
      </c>
      <c r="D31" s="3"/>
      <c r="E31" s="1"/>
      <c r="F31" s="1"/>
      <c r="G31" s="1"/>
      <c r="H31" s="1"/>
      <c r="I31" s="1"/>
      <c r="J31" s="1"/>
      <c r="K31" s="42"/>
      <c r="L31" s="7"/>
    </row>
    <row r="32" spans="2:12" ht="12.75">
      <c r="B32" s="1"/>
      <c r="C32" s="4" t="s">
        <v>60</v>
      </c>
      <c r="D32" s="4"/>
      <c r="E32" s="2"/>
      <c r="F32" s="2">
        <v>3257220.6</v>
      </c>
      <c r="G32" s="2">
        <v>1472050.7</v>
      </c>
      <c r="H32" s="2">
        <v>1785169.9</v>
      </c>
      <c r="I32" s="2">
        <f>SUM(I26:I31)</f>
        <v>98366.97483188276</v>
      </c>
      <c r="J32" s="31">
        <f>SUM(J26:J31)</f>
        <v>3.3433591249926167</v>
      </c>
      <c r="K32" s="43">
        <f>SUM(K26:K31)</f>
        <v>16394.4958053138</v>
      </c>
      <c r="L32" s="6">
        <f>SUM(L26:L31)</f>
        <v>40986.2395132845</v>
      </c>
    </row>
    <row r="33" spans="2:12" ht="51">
      <c r="B33" s="1" t="s">
        <v>61</v>
      </c>
      <c r="C33" s="4" t="s">
        <v>31</v>
      </c>
      <c r="D33" s="4"/>
      <c r="E33" s="2">
        <v>111234.9</v>
      </c>
      <c r="F33" s="2"/>
      <c r="G33" s="2">
        <v>78376.2</v>
      </c>
      <c r="H33" s="2">
        <v>32858.7</v>
      </c>
      <c r="I33" s="1"/>
      <c r="J33" s="1"/>
      <c r="K33" s="1"/>
      <c r="L33" s="7"/>
    </row>
    <row r="34" spans="2:12" ht="25.5">
      <c r="B34" s="1" t="s">
        <v>62</v>
      </c>
      <c r="C34" s="3" t="s">
        <v>32</v>
      </c>
      <c r="D34" s="3" t="s">
        <v>51</v>
      </c>
      <c r="E34" s="1"/>
      <c r="F34" s="1">
        <v>815719.552</v>
      </c>
      <c r="G34" s="1">
        <v>574756.7</v>
      </c>
      <c r="H34" s="1">
        <v>240962.9</v>
      </c>
      <c r="I34" s="1">
        <f>H34/H33*(C7+C6)</f>
        <v>25472.971524740788</v>
      </c>
      <c r="J34" s="30">
        <f>I34/C5/12</f>
        <v>0.8657915111598548</v>
      </c>
      <c r="K34" s="42">
        <f>J34*C5*2</f>
        <v>4245.495254123464</v>
      </c>
      <c r="L34" s="7">
        <f>J34*C5*5</f>
        <v>10613.73813530866</v>
      </c>
    </row>
    <row r="35" spans="2:12" ht="12.75">
      <c r="B35" s="1" t="s">
        <v>63</v>
      </c>
      <c r="C35" s="3" t="s">
        <v>64</v>
      </c>
      <c r="D35" s="3" t="s">
        <v>53</v>
      </c>
      <c r="E35" s="1"/>
      <c r="F35" s="1">
        <v>277344.6</v>
      </c>
      <c r="G35" s="1">
        <v>195417.3</v>
      </c>
      <c r="H35" s="1">
        <v>81927.4</v>
      </c>
      <c r="I35" s="1">
        <f>H35/H33*(C7+C6)</f>
        <v>8660.81179839738</v>
      </c>
      <c r="J35" s="30">
        <f>I35/C5/12</f>
        <v>0.2943691640970369</v>
      </c>
      <c r="K35" s="42">
        <f>J35*C5*2</f>
        <v>1443.4686330662303</v>
      </c>
      <c r="L35" s="7">
        <f>J35*C5*5</f>
        <v>3608.6715826655754</v>
      </c>
    </row>
    <row r="36" spans="2:12" ht="12.75">
      <c r="B36" s="1" t="s">
        <v>65</v>
      </c>
      <c r="C36" s="3" t="s">
        <v>66</v>
      </c>
      <c r="D36" s="3" t="s">
        <v>536</v>
      </c>
      <c r="E36" s="1"/>
      <c r="F36" s="1">
        <v>115582.34</v>
      </c>
      <c r="G36" s="1">
        <v>81439.4</v>
      </c>
      <c r="H36" s="1">
        <v>34142.9</v>
      </c>
      <c r="I36" s="1">
        <f>H36/H33*(C6+C7)</f>
        <v>3609.356956909434</v>
      </c>
      <c r="J36" s="30">
        <f>I36/C5/12</f>
        <v>0.12267711330823046</v>
      </c>
      <c r="K36" s="42">
        <f>J36*C5*2</f>
        <v>601.5594928182389</v>
      </c>
      <c r="L36" s="7">
        <f>J36*C5*5</f>
        <v>1503.8987320455974</v>
      </c>
    </row>
    <row r="37" spans="2:12" ht="25.5">
      <c r="B37" s="1" t="s">
        <v>67</v>
      </c>
      <c r="C37" s="3" t="s">
        <v>34</v>
      </c>
      <c r="D37" s="3" t="s">
        <v>68</v>
      </c>
      <c r="E37" s="1"/>
      <c r="F37" s="1">
        <v>55220.9</v>
      </c>
      <c r="G37" s="1">
        <v>38908.7</v>
      </c>
      <c r="H37" s="1">
        <v>16312.2</v>
      </c>
      <c r="I37" s="1">
        <f>H37/H33*(C7+C6)</f>
        <v>1724.4156926476094</v>
      </c>
      <c r="J37" s="30">
        <f>I37/C5/12</f>
        <v>0.05861053418738645</v>
      </c>
      <c r="K37" s="42">
        <f>J37*C5*2</f>
        <v>287.4026154412682</v>
      </c>
      <c r="L37" s="7">
        <f>J37*C5*5</f>
        <v>718.5065386031705</v>
      </c>
    </row>
    <row r="38" spans="2:12" ht="25.5">
      <c r="B38" s="1" t="s">
        <v>69</v>
      </c>
      <c r="C38" s="3" t="s">
        <v>35</v>
      </c>
      <c r="D38" s="3"/>
      <c r="E38" s="1"/>
      <c r="F38" s="1"/>
      <c r="G38" s="1"/>
      <c r="H38" s="1"/>
      <c r="I38" s="1"/>
      <c r="J38" s="30"/>
      <c r="K38" s="42"/>
      <c r="L38" s="7"/>
    </row>
    <row r="39" spans="2:12" ht="12.75">
      <c r="B39" s="1" t="s">
        <v>70</v>
      </c>
      <c r="C39" s="3" t="s">
        <v>36</v>
      </c>
      <c r="D39" s="3" t="s">
        <v>71</v>
      </c>
      <c r="E39" s="1"/>
      <c r="F39" s="1"/>
      <c r="G39" s="1"/>
      <c r="H39" s="1"/>
      <c r="I39" s="1"/>
      <c r="J39" s="30"/>
      <c r="K39" s="42"/>
      <c r="L39" s="7"/>
    </row>
    <row r="40" spans="2:12" ht="12.75">
      <c r="B40" s="1" t="s">
        <v>72</v>
      </c>
      <c r="C40" s="3" t="s">
        <v>73</v>
      </c>
      <c r="D40" s="3"/>
      <c r="E40" s="1"/>
      <c r="F40" s="1">
        <v>30500</v>
      </c>
      <c r="G40" s="1">
        <v>21297.8</v>
      </c>
      <c r="H40" s="1">
        <v>9202.2</v>
      </c>
      <c r="I40" s="1">
        <f>H40/H21*C5</f>
        <v>527.9799019951981</v>
      </c>
      <c r="J40" s="30">
        <f>I40/C5/12</f>
        <v>0.017945315754248514</v>
      </c>
      <c r="K40" s="42">
        <f>J40*C5*2</f>
        <v>87.99665033253302</v>
      </c>
      <c r="L40" s="7">
        <f>J40*C5*5</f>
        <v>219.99162583133256</v>
      </c>
    </row>
    <row r="41" spans="2:12" ht="12.75">
      <c r="B41" s="1"/>
      <c r="C41" s="4" t="s">
        <v>60</v>
      </c>
      <c r="D41" s="4"/>
      <c r="E41" s="2"/>
      <c r="F41" s="2">
        <v>1294367.4</v>
      </c>
      <c r="G41" s="2">
        <v>911819.85</v>
      </c>
      <c r="H41" s="2">
        <v>382547.6</v>
      </c>
      <c r="I41" s="2">
        <f>SUM(I34:I40)</f>
        <v>39995.5358746904</v>
      </c>
      <c r="J41" s="31">
        <f>SUM(J34:J40)</f>
        <v>1.359393638506757</v>
      </c>
      <c r="K41" s="43">
        <f>SUM(K34:K40)</f>
        <v>6665.922645781736</v>
      </c>
      <c r="L41" s="6">
        <f>SUM(L34:L40)</f>
        <v>16664.806614454334</v>
      </c>
    </row>
    <row r="42" spans="2:12" ht="25.5">
      <c r="B42" s="1" t="s">
        <v>74</v>
      </c>
      <c r="C42" s="4" t="s">
        <v>37</v>
      </c>
      <c r="D42" s="4"/>
      <c r="E42" s="2"/>
      <c r="F42" s="2">
        <v>5004925.7</v>
      </c>
      <c r="G42" s="2">
        <v>3548598.7</v>
      </c>
      <c r="H42" s="2">
        <v>1456327</v>
      </c>
      <c r="I42" s="2">
        <f>H42/H21*C5</f>
        <v>83557.34354099682</v>
      </c>
      <c r="J42" s="31">
        <f>I42/C5/12</f>
        <v>2.8399999843991086</v>
      </c>
      <c r="K42" s="43">
        <f>J42*C5*2</f>
        <v>13926.22392349947</v>
      </c>
      <c r="L42" s="6">
        <f>J42*C5*5</f>
        <v>34815.55980874867</v>
      </c>
    </row>
    <row r="43" spans="2:12" ht="51">
      <c r="B43" s="1" t="s">
        <v>75</v>
      </c>
      <c r="C43" s="4" t="s">
        <v>38</v>
      </c>
      <c r="D43" s="4"/>
      <c r="E43" s="2">
        <v>141634.46</v>
      </c>
      <c r="F43" s="2"/>
      <c r="G43" s="2">
        <v>98901.86</v>
      </c>
      <c r="H43" s="2">
        <v>42732.6</v>
      </c>
      <c r="I43" s="1"/>
      <c r="J43" s="1"/>
      <c r="K43" s="1"/>
      <c r="L43" s="7"/>
    </row>
    <row r="44" spans="2:12" ht="63.75">
      <c r="B44" s="1" t="s">
        <v>76</v>
      </c>
      <c r="C44" s="3" t="s">
        <v>77</v>
      </c>
      <c r="D44" s="3" t="s">
        <v>51</v>
      </c>
      <c r="E44" s="1"/>
      <c r="F44" s="1">
        <v>558138</v>
      </c>
      <c r="G44" s="1">
        <v>389741.9</v>
      </c>
      <c r="H44" s="1">
        <v>168396.1</v>
      </c>
      <c r="I44" s="1">
        <f>H44/H43*C5</f>
        <v>9661.793524849882</v>
      </c>
      <c r="J44" s="30">
        <f>I44/C5/12</f>
        <v>0.3283911658390394</v>
      </c>
      <c r="K44" s="42">
        <f>J44*C5*2</f>
        <v>1610.2989208083136</v>
      </c>
      <c r="L44" s="7">
        <f>J44*C5*5</f>
        <v>4025.747302020784</v>
      </c>
    </row>
    <row r="45" spans="2:12" ht="102">
      <c r="B45" s="1" t="s">
        <v>78</v>
      </c>
      <c r="C45" s="4" t="s">
        <v>448</v>
      </c>
      <c r="D45" s="3" t="s">
        <v>53</v>
      </c>
      <c r="E45" s="1"/>
      <c r="F45" s="1">
        <v>189767</v>
      </c>
      <c r="G45" s="1">
        <v>132512</v>
      </c>
      <c r="H45" s="1">
        <v>57255</v>
      </c>
      <c r="I45" s="1">
        <f>H45/H43*C5</f>
        <v>3285.028502829222</v>
      </c>
      <c r="J45" s="30">
        <f>I45/C5/12</f>
        <v>0.11165363212161207</v>
      </c>
      <c r="K45" s="42">
        <f>J45*C5*2</f>
        <v>547.504750471537</v>
      </c>
      <c r="L45" s="7">
        <f>J45*C5*5</f>
        <v>1368.7618761788426</v>
      </c>
    </row>
    <row r="46" spans="2:12" ht="102">
      <c r="B46" s="1" t="s">
        <v>80</v>
      </c>
      <c r="C46" s="29" t="s">
        <v>129</v>
      </c>
      <c r="D46" s="3" t="s">
        <v>536</v>
      </c>
      <c r="E46" s="1"/>
      <c r="F46" s="1">
        <v>111512.16</v>
      </c>
      <c r="G46" s="1">
        <v>77867.8</v>
      </c>
      <c r="H46" s="1">
        <v>33644.4</v>
      </c>
      <c r="I46" s="1">
        <f>H46/H43*C5</f>
        <v>1930.3608935566758</v>
      </c>
      <c r="J46" s="30">
        <f>I46/C5/12</f>
        <v>0.06561033028647918</v>
      </c>
      <c r="K46" s="42">
        <f>J46*C5*2</f>
        <v>321.72681559277936</v>
      </c>
      <c r="L46" s="7">
        <f>J46*C5*5</f>
        <v>804.3170389819484</v>
      </c>
    </row>
    <row r="47" spans="2:12" ht="12.75">
      <c r="B47" s="1"/>
      <c r="C47" s="3"/>
      <c r="D47" s="3"/>
      <c r="E47" s="1"/>
      <c r="F47" s="1"/>
      <c r="G47" s="1"/>
      <c r="H47" s="1"/>
      <c r="I47" s="1"/>
      <c r="J47" s="30"/>
      <c r="K47" s="42"/>
      <c r="L47" s="7"/>
    </row>
    <row r="48" spans="2:12" ht="12.75">
      <c r="B48" s="1"/>
      <c r="C48" s="3"/>
      <c r="D48" s="3" t="s">
        <v>71</v>
      </c>
      <c r="E48" s="1"/>
      <c r="F48" s="1"/>
      <c r="G48" s="1"/>
      <c r="H48" s="1"/>
      <c r="I48" s="1"/>
      <c r="J48" s="30"/>
      <c r="K48" s="42"/>
      <c r="L48" s="7"/>
    </row>
    <row r="49" spans="2:12" ht="12.75">
      <c r="B49" s="1"/>
      <c r="C49" s="4" t="s">
        <v>60</v>
      </c>
      <c r="D49" s="4"/>
      <c r="E49" s="2"/>
      <c r="F49" s="2">
        <v>859417.1</v>
      </c>
      <c r="G49" s="2">
        <v>600121.9</v>
      </c>
      <c r="H49" s="2">
        <v>259295.1</v>
      </c>
      <c r="I49" s="2">
        <f>SUM(I44:I48)</f>
        <v>14877.182921235779</v>
      </c>
      <c r="J49" s="31">
        <f>SUM(J44:J48)</f>
        <v>0.5056551282471307</v>
      </c>
      <c r="K49" s="43">
        <f>SUM(K44:K48)</f>
        <v>2479.5304868726303</v>
      </c>
      <c r="L49" s="6">
        <f>SUM(L44:L48)</f>
        <v>6198.826217181575</v>
      </c>
    </row>
    <row r="50" spans="2:12" ht="51">
      <c r="B50" s="1" t="s">
        <v>81</v>
      </c>
      <c r="C50" s="4" t="s">
        <v>39</v>
      </c>
      <c r="D50" s="4"/>
      <c r="E50" s="2">
        <v>141634.46</v>
      </c>
      <c r="F50" s="2"/>
      <c r="G50" s="2">
        <v>98901.86</v>
      </c>
      <c r="H50" s="2">
        <v>42732.6</v>
      </c>
      <c r="I50" s="1"/>
      <c r="J50" s="1"/>
      <c r="K50" s="1"/>
      <c r="L50" s="7"/>
    </row>
    <row r="51" spans="2:12" ht="38.25">
      <c r="B51" s="1" t="s">
        <v>82</v>
      </c>
      <c r="C51" s="3" t="s">
        <v>83</v>
      </c>
      <c r="D51" s="3" t="s">
        <v>51</v>
      </c>
      <c r="E51" s="1"/>
      <c r="F51" s="1">
        <v>667518.8</v>
      </c>
      <c r="G51" s="1">
        <v>466121.4</v>
      </c>
      <c r="H51" s="1">
        <v>201397.4</v>
      </c>
      <c r="I51" s="1">
        <f>H51/H50*C5</f>
        <v>11555.25629893805</v>
      </c>
      <c r="J51" s="30">
        <f>I51/C5/12</f>
        <v>0.3927473794402088</v>
      </c>
      <c r="K51" s="42">
        <f>J51*C5*2</f>
        <v>1925.876049823008</v>
      </c>
      <c r="L51" s="7">
        <f>J51*C5*5</f>
        <v>4814.69012455752</v>
      </c>
    </row>
    <row r="52" spans="2:12" ht="38.25">
      <c r="B52" s="1" t="s">
        <v>84</v>
      </c>
      <c r="C52" s="3" t="s">
        <v>387</v>
      </c>
      <c r="D52" s="3" t="s">
        <v>53</v>
      </c>
      <c r="E52" s="1"/>
      <c r="F52" s="1">
        <v>226956</v>
      </c>
      <c r="G52" s="1">
        <v>158481.3</v>
      </c>
      <c r="H52" s="1">
        <v>68475.1</v>
      </c>
      <c r="I52" s="1">
        <f>H52/H50*C5</f>
        <v>3928.786223632543</v>
      </c>
      <c r="J52" s="30">
        <f>I52/C5/12</f>
        <v>0.1335340778078875</v>
      </c>
      <c r="K52" s="42">
        <f>J52*C5*2</f>
        <v>654.7977039387572</v>
      </c>
      <c r="L52" s="7">
        <f>J52*C5*5</f>
        <v>1636.9942598468929</v>
      </c>
    </row>
    <row r="53" spans="2:12" ht="63.75">
      <c r="B53" s="1" t="s">
        <v>86</v>
      </c>
      <c r="C53" s="3" t="s">
        <v>87</v>
      </c>
      <c r="D53" s="3" t="s">
        <v>536</v>
      </c>
      <c r="E53" s="1"/>
      <c r="F53" s="1">
        <v>446048.65</v>
      </c>
      <c r="G53" s="1">
        <v>311471.1</v>
      </c>
      <c r="H53" s="1">
        <v>134577.5</v>
      </c>
      <c r="I53" s="1">
        <f>H53/H50*C5</f>
        <v>7721.437836686746</v>
      </c>
      <c r="J53" s="30">
        <f>I53/C5/12</f>
        <v>0.2624411261347699</v>
      </c>
      <c r="K53" s="42">
        <f>J53*C5*2</f>
        <v>1286.9063061144577</v>
      </c>
      <c r="L53" s="7">
        <f>J53*C5*5</f>
        <v>3217.2657652861444</v>
      </c>
    </row>
    <row r="54" spans="2:12" ht="51">
      <c r="B54" s="1" t="s">
        <v>88</v>
      </c>
      <c r="C54" s="3" t="s">
        <v>130</v>
      </c>
      <c r="D54" s="3"/>
      <c r="E54" s="1"/>
      <c r="F54" s="1"/>
      <c r="G54" s="1"/>
      <c r="H54" s="1"/>
      <c r="I54" s="1"/>
      <c r="J54" s="30"/>
      <c r="K54" s="42"/>
      <c r="L54" s="7"/>
    </row>
    <row r="55" spans="2:12" ht="51">
      <c r="B55" s="1" t="s">
        <v>89</v>
      </c>
      <c r="C55" s="3" t="s">
        <v>90</v>
      </c>
      <c r="D55" s="3" t="s">
        <v>71</v>
      </c>
      <c r="E55" s="1"/>
      <c r="F55" s="1"/>
      <c r="G55" s="1"/>
      <c r="H55" s="1"/>
      <c r="I55" s="1"/>
      <c r="J55" s="30"/>
      <c r="K55" s="42"/>
      <c r="L55" s="7"/>
    </row>
    <row r="56" spans="2:12" ht="76.5">
      <c r="B56" s="1" t="s">
        <v>91</v>
      </c>
      <c r="C56" s="3" t="s">
        <v>92</v>
      </c>
      <c r="D56" s="3"/>
      <c r="E56" s="1"/>
      <c r="F56" s="1"/>
      <c r="G56" s="1"/>
      <c r="H56" s="1"/>
      <c r="I56" s="1"/>
      <c r="J56" s="30"/>
      <c r="K56" s="42"/>
      <c r="L56" s="7"/>
    </row>
    <row r="57" spans="2:12" ht="25.5">
      <c r="B57" s="1" t="s">
        <v>93</v>
      </c>
      <c r="C57" s="3" t="s">
        <v>94</v>
      </c>
      <c r="D57" s="3"/>
      <c r="E57" s="1"/>
      <c r="F57" s="1"/>
      <c r="G57" s="1"/>
      <c r="H57" s="1"/>
      <c r="I57" s="1"/>
      <c r="J57" s="30"/>
      <c r="K57" s="42"/>
      <c r="L57" s="7"/>
    </row>
    <row r="58" spans="2:12" ht="12.75">
      <c r="B58" s="1"/>
      <c r="C58" s="4" t="s">
        <v>60</v>
      </c>
      <c r="D58" s="4"/>
      <c r="E58" s="2"/>
      <c r="F58" s="2">
        <v>1340523.8</v>
      </c>
      <c r="G58" s="2">
        <v>936073.8</v>
      </c>
      <c r="H58" s="2">
        <v>404450.1</v>
      </c>
      <c r="I58" s="2">
        <f>SUM(I51:I57)</f>
        <v>23205.480359257337</v>
      </c>
      <c r="J58" s="31">
        <f>SUM(J51:J57)</f>
        <v>0.7887225833828662</v>
      </c>
      <c r="K58" s="43">
        <f>SUM(K51:K57)</f>
        <v>3867.5800598762235</v>
      </c>
      <c r="L58" s="6">
        <f>SUM(L51:L57)</f>
        <v>9668.950149690558</v>
      </c>
    </row>
    <row r="59" spans="2:12" ht="51">
      <c r="B59" s="1" t="s">
        <v>95</v>
      </c>
      <c r="C59" s="4" t="s">
        <v>481</v>
      </c>
      <c r="D59" s="4"/>
      <c r="E59" s="2">
        <v>141634.46</v>
      </c>
      <c r="F59" s="2"/>
      <c r="G59" s="2">
        <v>98901.86</v>
      </c>
      <c r="H59" s="2">
        <v>42732.6</v>
      </c>
      <c r="I59" s="1"/>
      <c r="J59" s="1"/>
      <c r="K59" s="1"/>
      <c r="L59" s="7"/>
    </row>
    <row r="60" spans="2:12" ht="63.75">
      <c r="B60" s="1" t="s">
        <v>96</v>
      </c>
      <c r="C60" s="3" t="s">
        <v>163</v>
      </c>
      <c r="D60" s="3" t="s">
        <v>51</v>
      </c>
      <c r="E60" s="1"/>
      <c r="F60" s="1">
        <v>3033160.58</v>
      </c>
      <c r="G60" s="1">
        <v>2118024.3</v>
      </c>
      <c r="H60" s="1">
        <v>915136.3</v>
      </c>
      <c r="I60" s="1">
        <f>H60/H59*C5</f>
        <v>52506.310880685945</v>
      </c>
      <c r="J60" s="30">
        <f>I60/C5/12</f>
        <v>1.784617793753091</v>
      </c>
      <c r="K60" s="42">
        <f>J60*C5*2</f>
        <v>8751.051813447657</v>
      </c>
      <c r="L60" s="7">
        <f>J60*C5*5</f>
        <v>21877.629533619143</v>
      </c>
    </row>
    <row r="61" spans="2:12" ht="12.75">
      <c r="B61" s="1" t="s">
        <v>98</v>
      </c>
      <c r="C61" s="3" t="s">
        <v>99</v>
      </c>
      <c r="D61" s="3" t="s">
        <v>53</v>
      </c>
      <c r="E61" s="1"/>
      <c r="F61" s="1">
        <v>1031274.6</v>
      </c>
      <c r="G61" s="1">
        <v>720128.3</v>
      </c>
      <c r="H61" s="1">
        <v>311146.3</v>
      </c>
      <c r="I61" s="1">
        <f>H61/H59*C5</f>
        <v>17852.143289666437</v>
      </c>
      <c r="J61" s="30">
        <f>I61/C5/12</f>
        <v>0.6067699679713692</v>
      </c>
      <c r="K61" s="42">
        <f>J61*C5*2</f>
        <v>2975.357214944406</v>
      </c>
      <c r="L61" s="7">
        <f>J61*C5*5</f>
        <v>7438.393037361016</v>
      </c>
    </row>
    <row r="62" spans="2:12" ht="12.75">
      <c r="B62" s="1" t="s">
        <v>100</v>
      </c>
      <c r="C62" s="3" t="s">
        <v>101</v>
      </c>
      <c r="D62" s="3" t="s">
        <v>536</v>
      </c>
      <c r="E62" s="1"/>
      <c r="F62" s="1">
        <v>719534.71</v>
      </c>
      <c r="G62" s="1">
        <v>502443.6</v>
      </c>
      <c r="H62" s="1">
        <v>217091.2</v>
      </c>
      <c r="I62" s="1">
        <f>H62/H59*C5</f>
        <v>12455.694344832753</v>
      </c>
      <c r="J62" s="30">
        <f>I62/C5/12</f>
        <v>0.423352038802538</v>
      </c>
      <c r="K62" s="42">
        <f>J62*C5*2</f>
        <v>2075.949057472126</v>
      </c>
      <c r="L62" s="7">
        <f>J62*C5*5</f>
        <v>5189.8726436803145</v>
      </c>
    </row>
    <row r="63" spans="2:12" ht="51">
      <c r="B63" s="1" t="s">
        <v>102</v>
      </c>
      <c r="C63" s="3" t="s">
        <v>164</v>
      </c>
      <c r="D63" s="3"/>
      <c r="E63" s="1"/>
      <c r="F63" s="1"/>
      <c r="G63" s="1"/>
      <c r="H63" s="1"/>
      <c r="I63" s="1"/>
      <c r="J63" s="30"/>
      <c r="K63" s="42"/>
      <c r="L63" s="7"/>
    </row>
    <row r="64" spans="2:12" ht="51">
      <c r="B64" s="1" t="s">
        <v>104</v>
      </c>
      <c r="C64" s="4" t="s">
        <v>162</v>
      </c>
      <c r="D64" s="3" t="s">
        <v>71</v>
      </c>
      <c r="E64" s="1"/>
      <c r="F64" s="1"/>
      <c r="G64" s="1"/>
      <c r="H64" s="1"/>
      <c r="I64" s="1"/>
      <c r="J64" s="30"/>
      <c r="K64" s="42"/>
      <c r="L64" s="7"/>
    </row>
    <row r="65" spans="2:12" ht="63.75">
      <c r="B65" s="1" t="s">
        <v>105</v>
      </c>
      <c r="C65" s="3" t="s">
        <v>106</v>
      </c>
      <c r="D65" s="3" t="s">
        <v>107</v>
      </c>
      <c r="E65" s="3" t="s">
        <v>108</v>
      </c>
      <c r="F65" s="1">
        <v>71968.71</v>
      </c>
      <c r="G65" s="1">
        <v>32713.05</v>
      </c>
      <c r="H65" s="1">
        <v>39255.66</v>
      </c>
      <c r="I65" s="1">
        <f>H65/6*C12</f>
        <v>0</v>
      </c>
      <c r="J65" s="30">
        <f>I65/C6/12</f>
        <v>0</v>
      </c>
      <c r="K65" s="42"/>
      <c r="L65" s="7"/>
    </row>
    <row r="66" spans="2:12" ht="12.75">
      <c r="B66" s="1"/>
      <c r="C66" s="4" t="s">
        <v>60</v>
      </c>
      <c r="D66" s="4"/>
      <c r="E66" s="2"/>
      <c r="F66" s="2">
        <v>4855938.6</v>
      </c>
      <c r="G66" s="2">
        <v>3373309.1</v>
      </c>
      <c r="H66" s="2">
        <v>1482629.5</v>
      </c>
      <c r="I66" s="2">
        <f>SUM(I60:I65)</f>
        <v>82814.14851518514</v>
      </c>
      <c r="J66" s="31">
        <f>SUM(J60:J65)</f>
        <v>2.8147398005269983</v>
      </c>
      <c r="K66" s="43">
        <f>SUM(K60:K65)</f>
        <v>13802.358085864189</v>
      </c>
      <c r="L66" s="6">
        <f>SUM(L60:L65)</f>
        <v>34505.89521466047</v>
      </c>
    </row>
    <row r="67" spans="2:12" ht="12.75">
      <c r="B67" s="1" t="s">
        <v>109</v>
      </c>
      <c r="C67" s="4" t="s">
        <v>482</v>
      </c>
      <c r="D67" s="4"/>
      <c r="E67" s="2">
        <v>141634.46</v>
      </c>
      <c r="F67" s="2"/>
      <c r="G67" s="2">
        <v>98901.86</v>
      </c>
      <c r="H67" s="2">
        <v>42732.6</v>
      </c>
      <c r="I67" s="1"/>
      <c r="J67" s="1"/>
      <c r="K67" s="1"/>
      <c r="L67" s="7"/>
    </row>
    <row r="68" spans="2:12" ht="89.25">
      <c r="B68" s="1" t="s">
        <v>110</v>
      </c>
      <c r="C68" s="3" t="s">
        <v>483</v>
      </c>
      <c r="D68" s="3" t="s">
        <v>111</v>
      </c>
      <c r="E68" s="1"/>
      <c r="F68" s="1">
        <v>277923.9</v>
      </c>
      <c r="G68" s="1">
        <v>194071.3</v>
      </c>
      <c r="H68" s="1">
        <v>83852.6</v>
      </c>
      <c r="I68" s="1">
        <f>H68/H67*C5</f>
        <v>4811.076430640776</v>
      </c>
      <c r="J68" s="30">
        <f>I68/C5/12</f>
        <v>0.16352191691277077</v>
      </c>
      <c r="K68" s="42">
        <f>J68*C5*2</f>
        <v>801.8460717734628</v>
      </c>
      <c r="L68" s="7">
        <f>J68*C5*5</f>
        <v>2004.615179433657</v>
      </c>
    </row>
    <row r="69" spans="2:12" ht="12.75">
      <c r="B69" s="1"/>
      <c r="C69" s="3"/>
      <c r="D69" s="3" t="s">
        <v>53</v>
      </c>
      <c r="E69" s="1"/>
      <c r="F69" s="1">
        <v>94494.1</v>
      </c>
      <c r="G69" s="1">
        <v>65984.3</v>
      </c>
      <c r="H69" s="1">
        <v>28509.9</v>
      </c>
      <c r="I69" s="1">
        <f>H69/H67*C5</f>
        <v>1635.766904424257</v>
      </c>
      <c r="J69" s="30">
        <f>I69/C5/12</f>
        <v>0.05559748295212555</v>
      </c>
      <c r="K69" s="42">
        <f>J69*C5*2</f>
        <v>272.62781740404284</v>
      </c>
      <c r="L69" s="7">
        <f>J69*C5*5</f>
        <v>681.5695435101071</v>
      </c>
    </row>
    <row r="70" spans="2:12" ht="12.75">
      <c r="B70" s="1"/>
      <c r="C70" s="3"/>
      <c r="D70" s="3" t="s">
        <v>536</v>
      </c>
      <c r="E70" s="1"/>
      <c r="F70" s="1">
        <v>79948</v>
      </c>
      <c r="G70" s="1">
        <v>55826.9</v>
      </c>
      <c r="H70" s="1">
        <v>24121.1</v>
      </c>
      <c r="I70" s="1">
        <f>H70/H67*C5</f>
        <v>1383.9577507570334</v>
      </c>
      <c r="J70" s="30">
        <f>I70/C5/12</f>
        <v>0.04703883373973656</v>
      </c>
      <c r="K70" s="42">
        <f>J70*C5*2</f>
        <v>230.65962512617222</v>
      </c>
      <c r="L70" s="7">
        <f>J70*C5*5</f>
        <v>576.6490628154305</v>
      </c>
    </row>
    <row r="71" spans="2:12" ht="25.5">
      <c r="B71" s="1"/>
      <c r="C71" s="3"/>
      <c r="D71" s="3" t="s">
        <v>112</v>
      </c>
      <c r="E71" s="1"/>
      <c r="F71" s="1">
        <v>882609.2</v>
      </c>
      <c r="G71" s="1">
        <v>344178.5</v>
      </c>
      <c r="H71" s="1">
        <v>538430.8</v>
      </c>
      <c r="I71" s="1">
        <f>H71/H67*C5</f>
        <v>30892.682295015988</v>
      </c>
      <c r="J71" s="30">
        <f>I71/C5/12</f>
        <v>1.050000078004459</v>
      </c>
      <c r="K71" s="42">
        <f>J71*C5*2</f>
        <v>5148.780382502665</v>
      </c>
      <c r="L71" s="7">
        <f>J71*C5*5</f>
        <v>12871.950956256662</v>
      </c>
    </row>
    <row r="72" spans="2:12" ht="12.75">
      <c r="B72" s="1"/>
      <c r="C72" s="3"/>
      <c r="D72" s="3"/>
      <c r="E72" s="1"/>
      <c r="F72" s="1"/>
      <c r="G72" s="1"/>
      <c r="H72" s="1"/>
      <c r="I72" s="1"/>
      <c r="J72" s="30"/>
      <c r="K72" s="42"/>
      <c r="L72" s="7"/>
    </row>
    <row r="73" spans="2:12" ht="12.75">
      <c r="B73" s="1"/>
      <c r="C73" s="4" t="s">
        <v>60</v>
      </c>
      <c r="D73" s="4"/>
      <c r="E73" s="2"/>
      <c r="F73" s="2">
        <v>1334975.3</v>
      </c>
      <c r="G73" s="2">
        <v>660060.9</v>
      </c>
      <c r="H73" s="2">
        <v>674914.3</v>
      </c>
      <c r="I73" s="2">
        <f>SUM(I68:I72)</f>
        <v>38723.48338083806</v>
      </c>
      <c r="J73" s="31">
        <f>SUM(J68:J72)</f>
        <v>1.3161583116090918</v>
      </c>
      <c r="K73" s="43">
        <f>SUM(K68:K72)</f>
        <v>6453.913896806343</v>
      </c>
      <c r="L73" s="6">
        <f>SUM(L68:L72)</f>
        <v>16134.784742015856</v>
      </c>
    </row>
    <row r="74" spans="2:12" ht="12.75">
      <c r="B74" s="1" t="s">
        <v>113</v>
      </c>
      <c r="C74" s="4" t="s">
        <v>484</v>
      </c>
      <c r="D74" s="4"/>
      <c r="E74" s="2">
        <v>15</v>
      </c>
      <c r="F74" s="2">
        <v>1600212</v>
      </c>
      <c r="G74" s="2"/>
      <c r="H74" s="2">
        <v>1600212</v>
      </c>
      <c r="I74" s="2">
        <f>I75+I76</f>
        <v>89441.664</v>
      </c>
      <c r="J74" s="31">
        <f>J75+J76</f>
        <v>3.0400000000000005</v>
      </c>
      <c r="K74" s="2">
        <f>J74*C5*2</f>
        <v>14906.944000000003</v>
      </c>
      <c r="L74" s="6">
        <f>J74*C5*5</f>
        <v>37267.36000000001</v>
      </c>
    </row>
    <row r="75" spans="2:12" ht="12.75">
      <c r="B75" s="1"/>
      <c r="C75" s="3" t="s">
        <v>114</v>
      </c>
      <c r="D75" s="3"/>
      <c r="E75" s="1"/>
      <c r="F75" s="1">
        <v>1431000</v>
      </c>
      <c r="G75" s="1"/>
      <c r="H75" s="1">
        <v>1431000</v>
      </c>
      <c r="I75" s="1">
        <f>2.79*C5*12</f>
        <v>82086.26400000001</v>
      </c>
      <c r="J75" s="30">
        <f>I75/C5/12</f>
        <v>2.7900000000000005</v>
      </c>
      <c r="K75" s="1">
        <f>J75*C5*2</f>
        <v>13681.044000000004</v>
      </c>
      <c r="L75" s="7">
        <f>J75*C5*5</f>
        <v>34202.61000000001</v>
      </c>
    </row>
    <row r="76" spans="2:12" ht="12.75">
      <c r="B76" s="1"/>
      <c r="C76" s="3" t="s">
        <v>115</v>
      </c>
      <c r="D76" s="3"/>
      <c r="E76" s="1"/>
      <c r="F76" s="1">
        <v>169212</v>
      </c>
      <c r="G76" s="1"/>
      <c r="H76" s="1">
        <v>169212</v>
      </c>
      <c r="I76" s="1">
        <f>0.25*C5*12</f>
        <v>7355.400000000001</v>
      </c>
      <c r="J76" s="30">
        <f>I76/C5/12</f>
        <v>0.25</v>
      </c>
      <c r="K76" s="1">
        <f>J76*C5*2</f>
        <v>1225.9</v>
      </c>
      <c r="L76" s="7">
        <f>J76*C5*5</f>
        <v>3064.75</v>
      </c>
    </row>
    <row r="77" spans="2:12" ht="12.75">
      <c r="B77" s="1" t="s">
        <v>116</v>
      </c>
      <c r="C77" s="3" t="s">
        <v>485</v>
      </c>
      <c r="D77" s="3"/>
      <c r="E77" s="1"/>
      <c r="F77" s="1"/>
      <c r="G77" s="1"/>
      <c r="H77" s="1"/>
      <c r="I77" s="1"/>
      <c r="J77" s="1"/>
      <c r="K77" s="1"/>
      <c r="L77" s="7"/>
    </row>
    <row r="78" spans="2:12" ht="12.75">
      <c r="B78" s="1"/>
      <c r="C78" s="3"/>
      <c r="D78" s="3"/>
      <c r="E78" s="1"/>
      <c r="F78" s="1"/>
      <c r="G78" s="1"/>
      <c r="H78" s="1"/>
      <c r="I78" s="1"/>
      <c r="J78" s="1"/>
      <c r="K78" s="1"/>
      <c r="L78" s="7"/>
    </row>
    <row r="79" spans="2:12" ht="12.75">
      <c r="B79" s="2" t="s">
        <v>117</v>
      </c>
      <c r="C79" s="4"/>
      <c r="D79" s="4"/>
      <c r="E79" s="2"/>
      <c r="F79" s="2">
        <v>19547580.6</v>
      </c>
      <c r="G79" s="2">
        <v>11502035</v>
      </c>
      <c r="H79" s="2">
        <v>8045545.6</v>
      </c>
      <c r="I79" s="2">
        <f>I32+I41+I42+I49+I58+I66+I73+I74</f>
        <v>470981.8134240863</v>
      </c>
      <c r="J79" s="31">
        <f>J32+J41+J42+J49+J58+J66+J73+J74</f>
        <v>16.00802857166457</v>
      </c>
      <c r="K79" s="43">
        <f>K32+K41+K42+K49+K58+K66+K73+K74</f>
        <v>78496.96890401439</v>
      </c>
      <c r="L79" s="6">
        <f>L32+L41+L42+L49+L58+L66+L73+L74</f>
        <v>196242.42226003596</v>
      </c>
    </row>
    <row r="80" spans="2:12" ht="12.75">
      <c r="B80" s="1"/>
      <c r="C80" s="3" t="s">
        <v>118</v>
      </c>
      <c r="D80" s="3"/>
      <c r="E80" s="1"/>
      <c r="F80" s="1">
        <v>1724360</v>
      </c>
      <c r="G80" s="1">
        <v>1204102.5</v>
      </c>
      <c r="H80" s="1">
        <v>520257.5</v>
      </c>
      <c r="I80" s="1">
        <f>H80/H79*I79</f>
        <v>30455.587846954913</v>
      </c>
      <c r="J80" s="30">
        <f>I80/C5/12</f>
        <v>1.0351438346981439</v>
      </c>
      <c r="K80" s="42">
        <f>J80*C5*2</f>
        <v>5075.931307825818</v>
      </c>
      <c r="L80" s="7">
        <f>J80*C5*5</f>
        <v>12689.828269564547</v>
      </c>
    </row>
    <row r="81" spans="2:12" ht="25.5">
      <c r="B81" s="1"/>
      <c r="C81" s="3" t="s">
        <v>119</v>
      </c>
      <c r="D81" s="3"/>
      <c r="E81" s="1"/>
      <c r="F81" s="1">
        <v>5396925.11</v>
      </c>
      <c r="G81" s="1">
        <v>3223686.7</v>
      </c>
      <c r="H81" s="1">
        <v>2173238.4</v>
      </c>
      <c r="I81" s="1">
        <f>H81/(H79+H80)*(I79+I80)</f>
        <v>127220.18039831381</v>
      </c>
      <c r="J81" s="30">
        <f>I81/C5/12</f>
        <v>4.324040174508314</v>
      </c>
      <c r="K81" s="42">
        <f>J81*C5*2</f>
        <v>21203.363399718968</v>
      </c>
      <c r="L81" s="7">
        <f>J81*C5*5</f>
        <v>53008.408499297424</v>
      </c>
    </row>
    <row r="82" spans="2:12" ht="12.75">
      <c r="B82" s="2" t="s">
        <v>590</v>
      </c>
      <c r="C82" s="4"/>
      <c r="D82" s="4"/>
      <c r="E82" s="2"/>
      <c r="F82" s="2">
        <v>26668865.67</v>
      </c>
      <c r="G82" s="2">
        <v>15929824.3</v>
      </c>
      <c r="H82" s="2">
        <v>10739041.4</v>
      </c>
      <c r="I82" s="2">
        <f>I79+I80+I81</f>
        <v>628657.581669355</v>
      </c>
      <c r="J82" s="31">
        <f>J79+J80+J81</f>
        <v>21.367212580871026</v>
      </c>
      <c r="K82" s="43">
        <f>SUM(K79:K81)</f>
        <v>104776.26361155917</v>
      </c>
      <c r="L82" s="6">
        <f>SUM(L79:L81)</f>
        <v>261940.65902889794</v>
      </c>
    </row>
    <row r="83" spans="2:12" ht="12.75">
      <c r="B83" s="1" t="s">
        <v>120</v>
      </c>
      <c r="C83" s="3"/>
      <c r="D83" s="3"/>
      <c r="E83" s="1"/>
      <c r="F83" s="1">
        <v>1333443.28</v>
      </c>
      <c r="G83" s="1">
        <v>796491.2</v>
      </c>
      <c r="H83" s="1">
        <v>536952.07</v>
      </c>
      <c r="I83" s="1"/>
      <c r="J83" s="30"/>
      <c r="K83" s="42"/>
      <c r="L83" s="7"/>
    </row>
    <row r="84" spans="2:12" ht="25.5">
      <c r="B84" s="1"/>
      <c r="C84" s="4" t="s">
        <v>121</v>
      </c>
      <c r="D84" s="4"/>
      <c r="E84" s="2"/>
      <c r="F84" s="2">
        <v>28002308.95</v>
      </c>
      <c r="G84" s="2">
        <v>16726315.5</v>
      </c>
      <c r="H84" s="2">
        <v>11275993.5</v>
      </c>
      <c r="I84" s="2">
        <f>I82+I83</f>
        <v>628657.581669355</v>
      </c>
      <c r="J84" s="31">
        <f>J82+J83</f>
        <v>21.367212580871026</v>
      </c>
      <c r="K84" s="43">
        <f>K82+K83</f>
        <v>104776.26361155917</v>
      </c>
      <c r="L84" s="6">
        <f>L82+L83</f>
        <v>261940.65902889794</v>
      </c>
    </row>
    <row r="85" spans="2:12" ht="12.75">
      <c r="B85" s="1"/>
      <c r="C85" s="4" t="s">
        <v>193</v>
      </c>
      <c r="D85" s="3"/>
      <c r="E85" s="1"/>
      <c r="F85" s="1"/>
      <c r="G85" s="1"/>
      <c r="H85" s="1"/>
      <c r="I85" s="1"/>
      <c r="J85" s="1"/>
      <c r="K85" s="2">
        <v>9184.92</v>
      </c>
      <c r="L85" s="6">
        <v>9184.92</v>
      </c>
    </row>
    <row r="86" spans="2:12" ht="12.75">
      <c r="B86" s="1"/>
      <c r="C86" s="1" t="s">
        <v>514</v>
      </c>
      <c r="D86" s="3"/>
      <c r="E86" s="1"/>
      <c r="F86" s="1"/>
      <c r="G86" s="1"/>
      <c r="H86" s="1"/>
      <c r="I86" s="1"/>
      <c r="J86" s="1">
        <v>22.08</v>
      </c>
      <c r="K86" s="1"/>
      <c r="L86" s="7"/>
    </row>
    <row r="87" spans="2:12" ht="12.75">
      <c r="B87" s="1"/>
      <c r="C87" s="1"/>
      <c r="D87" s="3"/>
      <c r="E87" s="1"/>
      <c r="F87" s="1"/>
      <c r="G87" s="1"/>
      <c r="H87" s="1"/>
      <c r="I87" s="1"/>
      <c r="J87" s="1">
        <v>3.5</v>
      </c>
      <c r="K87" s="1"/>
      <c r="L87" s="1"/>
    </row>
    <row r="88" spans="2:1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2" t="s">
        <v>231</v>
      </c>
      <c r="D89" s="1"/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 t="s">
        <v>219</v>
      </c>
      <c r="D90" s="1"/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 t="s">
        <v>220</v>
      </c>
      <c r="D91" s="1"/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2" t="s">
        <v>221</v>
      </c>
      <c r="D92" s="1"/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2" t="s">
        <v>232</v>
      </c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 t="s">
        <v>219</v>
      </c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 t="s">
        <v>220</v>
      </c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2" t="s">
        <v>221</v>
      </c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2" t="s">
        <v>233</v>
      </c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 t="s">
        <v>219</v>
      </c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 t="s">
        <v>220</v>
      </c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mergeCells count="14">
    <mergeCell ref="F13:F17"/>
    <mergeCell ref="G13:H13"/>
    <mergeCell ref="I13:J13"/>
    <mergeCell ref="K13:L13"/>
    <mergeCell ref="G14:G17"/>
    <mergeCell ref="H14:H17"/>
    <mergeCell ref="I14:I17"/>
    <mergeCell ref="J14:J17"/>
    <mergeCell ref="K14:K17"/>
    <mergeCell ref="L14:L17"/>
    <mergeCell ref="B13:B17"/>
    <mergeCell ref="C13:C17"/>
    <mergeCell ref="D13:D17"/>
    <mergeCell ref="E13:E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1">
      <pane xSplit="1" ySplit="18" topLeftCell="B61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65" sqref="C65"/>
    </sheetView>
  </sheetViews>
  <sheetFormatPr defaultColWidth="9.140625" defaultRowHeight="12.75"/>
  <cols>
    <col min="3" max="3" width="41.8515625" style="0" customWidth="1"/>
    <col min="4" max="4" width="17.140625" style="0" customWidth="1"/>
    <col min="5" max="6" width="16.57421875" style="0" hidden="1" customWidth="1"/>
    <col min="7" max="7" width="15.8515625" style="0" hidden="1" customWidth="1"/>
    <col min="8" max="8" width="14.8515625" style="0" hidden="1" customWidth="1"/>
    <col min="9" max="9" width="12.28125" style="0" hidden="1" customWidth="1"/>
    <col min="10" max="10" width="11.421875" style="0" customWidth="1"/>
    <col min="11" max="11" width="14.421875" style="0" customWidth="1"/>
    <col min="12" max="12" width="13.8515625" style="0" customWidth="1"/>
    <col min="13" max="13" width="11.7109375" style="0" customWidth="1"/>
    <col min="14" max="14" width="10.8515625" style="0" customWidth="1"/>
    <col min="15" max="15" width="13.7109375" style="0" customWidth="1"/>
    <col min="16" max="17" width="11.421875" style="0" customWidth="1"/>
    <col min="18" max="18" width="13.00390625" style="0" customWidth="1"/>
  </cols>
  <sheetData>
    <row r="4" spans="2:3" ht="12.75">
      <c r="B4" s="5" t="s">
        <v>487</v>
      </c>
      <c r="C4" s="5" t="s">
        <v>513</v>
      </c>
    </row>
    <row r="5" spans="2:3" ht="12.75">
      <c r="B5" t="s">
        <v>488</v>
      </c>
      <c r="C5">
        <v>5470</v>
      </c>
    </row>
    <row r="6" spans="2:3" ht="12.75">
      <c r="B6" t="s">
        <v>489</v>
      </c>
      <c r="C6">
        <v>2151</v>
      </c>
    </row>
    <row r="7" spans="2:3" ht="12.75">
      <c r="B7" t="s">
        <v>490</v>
      </c>
      <c r="C7">
        <v>1011</v>
      </c>
    </row>
    <row r="8" spans="2:3" ht="12.75">
      <c r="B8" t="s">
        <v>491</v>
      </c>
      <c r="C8">
        <v>473.3</v>
      </c>
    </row>
    <row r="9" spans="2:3" ht="12.75">
      <c r="B9" t="s">
        <v>492</v>
      </c>
      <c r="C9">
        <v>6</v>
      </c>
    </row>
    <row r="10" spans="2:3" ht="12.75">
      <c r="B10" t="s">
        <v>493</v>
      </c>
      <c r="C10">
        <v>109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4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3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45777.57670055598</v>
      </c>
      <c r="J27" s="30">
        <f>I27/C5/12</f>
        <v>0.6974036669798291</v>
      </c>
      <c r="K27" s="42">
        <f>J27*C5*3</f>
        <v>11444.394175138996</v>
      </c>
      <c r="L27" s="7">
        <f>J27*C5*6</f>
        <v>22888.78835027799</v>
      </c>
      <c r="M27" s="1">
        <f>J27*C5*9</f>
        <v>34333.18252541699</v>
      </c>
      <c r="N27" s="1">
        <f>J27*C5*12</f>
        <v>45777.57670055598</v>
      </c>
    </row>
    <row r="28" spans="2:14" ht="25.5">
      <c r="B28" s="1" t="s">
        <v>52</v>
      </c>
      <c r="C28" s="3" t="s">
        <v>27</v>
      </c>
      <c r="D28" s="3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15564.374852216064</v>
      </c>
      <c r="J28" s="30">
        <f>I28/C5/12</f>
        <v>0.2371172280959181</v>
      </c>
      <c r="K28" s="42">
        <f>J28*C5*3</f>
        <v>3891.093713054016</v>
      </c>
      <c r="L28" s="7">
        <f>J28*C5*6</f>
        <v>7782.187426108032</v>
      </c>
      <c r="M28" s="1">
        <f>J28*C5*9</f>
        <v>11673.281139162049</v>
      </c>
      <c r="N28" s="1">
        <f>J28*C5*12</f>
        <v>15564.374852216064</v>
      </c>
    </row>
    <row r="29" spans="2:14" ht="12.75">
      <c r="B29" s="1" t="s">
        <v>54</v>
      </c>
      <c r="C29" s="3"/>
      <c r="D29" s="3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3111.418689695366</v>
      </c>
      <c r="J29" s="30">
        <f>I29/C5/12</f>
        <v>0.04740125974551137</v>
      </c>
      <c r="K29" s="42">
        <f>J29*C5*3</f>
        <v>777.8546724238415</v>
      </c>
      <c r="L29" s="7">
        <f>J29*C5*6</f>
        <v>1555.709344847683</v>
      </c>
      <c r="M29" s="1">
        <f>J29*C5*9</f>
        <v>2333.564017271525</v>
      </c>
      <c r="N29" s="1">
        <f>J29*C5*12</f>
        <v>3111.418689695366</v>
      </c>
    </row>
    <row r="30" spans="2:14" ht="12.75">
      <c r="B30" s="1" t="s">
        <v>55</v>
      </c>
      <c r="C30" s="3"/>
      <c r="D30" s="3"/>
      <c r="E30" s="1">
        <v>15</v>
      </c>
      <c r="F30" s="1"/>
      <c r="G30" s="1"/>
      <c r="H30" s="1"/>
      <c r="I30" s="1"/>
      <c r="J30" s="1"/>
      <c r="K30" s="1"/>
      <c r="L30" s="7"/>
      <c r="M30" s="1"/>
      <c r="N30" s="1"/>
    </row>
    <row r="31" spans="2:14" ht="25.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3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4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64453.37024246742</v>
      </c>
      <c r="J33" s="31">
        <f t="shared" si="0"/>
        <v>0.9819221548212586</v>
      </c>
      <c r="K33" s="43">
        <f t="shared" si="0"/>
        <v>16113.342560616855</v>
      </c>
      <c r="L33" s="6">
        <f t="shared" si="0"/>
        <v>32226.68512123371</v>
      </c>
      <c r="M33" s="2">
        <f t="shared" si="0"/>
        <v>48340.027681850566</v>
      </c>
      <c r="N33" s="2">
        <f t="shared" si="0"/>
        <v>64453.37024246742</v>
      </c>
    </row>
    <row r="34" spans="2:14" ht="38.25">
      <c r="B34" s="1" t="s">
        <v>61</v>
      </c>
      <c r="C34" s="4" t="s">
        <v>31</v>
      </c>
      <c r="D34" s="4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12.75">
      <c r="B35" s="1" t="s">
        <v>62</v>
      </c>
      <c r="C35" s="3" t="s">
        <v>32</v>
      </c>
      <c r="D35" s="3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23187.915277852204</v>
      </c>
      <c r="J35" s="30">
        <f>I35/C5/12</f>
        <v>0.35325891648159974</v>
      </c>
      <c r="K35" s="42">
        <f>J35*C5*3</f>
        <v>5796.978819463051</v>
      </c>
      <c r="L35" s="7">
        <f>J35*C5*6</f>
        <v>11593.957638926102</v>
      </c>
      <c r="M35" s="1">
        <f>J35*C5*9</f>
        <v>17390.936458389155</v>
      </c>
      <c r="N35" s="1">
        <f>J35*C5*12</f>
        <v>23187.915277852204</v>
      </c>
    </row>
    <row r="36" spans="2:14" ht="12.75">
      <c r="B36" s="1" t="s">
        <v>63</v>
      </c>
      <c r="C36" s="3" t="s">
        <v>311</v>
      </c>
      <c r="D36" s="3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7883.892082035108</v>
      </c>
      <c r="J36" s="30">
        <f>I36/C5/12</f>
        <v>0.12010804512545868</v>
      </c>
      <c r="K36" s="42">
        <f>J36*C5*3</f>
        <v>1970.973020508777</v>
      </c>
      <c r="L36" s="7">
        <f>J36*C5*6</f>
        <v>3941.946041017554</v>
      </c>
      <c r="M36" s="1">
        <f>J36*C5*9</f>
        <v>5912.919061526331</v>
      </c>
      <c r="N36" s="1">
        <f>J36*C5*12</f>
        <v>7883.892082035108</v>
      </c>
    </row>
    <row r="37" spans="2:14" ht="12.75">
      <c r="B37" s="1" t="s">
        <v>65</v>
      </c>
      <c r="C37" s="3" t="s">
        <v>66</v>
      </c>
      <c r="D37" s="3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3285.581372916778</v>
      </c>
      <c r="J37" s="30">
        <f>I37/C5/12</f>
        <v>0.05005456083054202</v>
      </c>
      <c r="K37" s="42">
        <f>J37*C5*3</f>
        <v>821.3953432291946</v>
      </c>
      <c r="L37" s="7">
        <f>J37*C5*6</f>
        <v>1642.7906864583892</v>
      </c>
      <c r="M37" s="1">
        <f>J37*C5*9</f>
        <v>2464.186029687584</v>
      </c>
      <c r="N37" s="1">
        <f>J37*C5*12</f>
        <v>3285.5813729167785</v>
      </c>
    </row>
    <row r="38" spans="2:14" ht="25.5">
      <c r="B38" s="1" t="s">
        <v>67</v>
      </c>
      <c r="C38" s="3" t="s">
        <v>34</v>
      </c>
      <c r="D38" s="3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1569.7279199552925</v>
      </c>
      <c r="J38" s="30">
        <f>I38/C5/12</f>
        <v>0.023914197439903907</v>
      </c>
      <c r="K38" s="42">
        <f>J38*C5*3</f>
        <v>392.4319799888232</v>
      </c>
      <c r="L38" s="7">
        <f>J38*C5*6</f>
        <v>784.8639599776463</v>
      </c>
      <c r="M38" s="1">
        <f>J38*C5*9</f>
        <v>1177.2959399664694</v>
      </c>
      <c r="N38" s="1">
        <f>J38*C5*12</f>
        <v>1569.7279199552927</v>
      </c>
    </row>
    <row r="39" spans="2:14" ht="25.5">
      <c r="B39" s="1" t="s">
        <v>69</v>
      </c>
      <c r="C39" s="3" t="s">
        <v>35</v>
      </c>
      <c r="D39" s="3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12.75">
      <c r="B40" s="1" t="s">
        <v>70</v>
      </c>
      <c r="C40" s="3" t="s">
        <v>36</v>
      </c>
      <c r="D40" s="3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3"/>
      <c r="E41" s="1"/>
      <c r="F41" s="1">
        <v>30500</v>
      </c>
      <c r="G41" s="1">
        <v>21297.8</v>
      </c>
      <c r="H41" s="1">
        <v>9202.2</v>
      </c>
      <c r="I41" s="1">
        <f>G41/G22*C5</f>
        <v>1177.9249247688565</v>
      </c>
      <c r="J41" s="30">
        <f>I41/C5/12</f>
        <v>0.01794523042000086</v>
      </c>
      <c r="K41" s="42">
        <f>J41*C5*3</f>
        <v>294.4812311922141</v>
      </c>
      <c r="L41" s="7">
        <f>J41*C5*6</f>
        <v>588.9624623844282</v>
      </c>
      <c r="M41" s="1">
        <f>J41*C5*9</f>
        <v>883.4436935766423</v>
      </c>
      <c r="N41" s="1">
        <f>J41*C5*12</f>
        <v>1177.9249247688565</v>
      </c>
    </row>
    <row r="42" spans="2:14" ht="12.75">
      <c r="B42" s="1"/>
      <c r="C42" s="4" t="s">
        <v>60</v>
      </c>
      <c r="D42" s="4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37105.04157752824</v>
      </c>
      <c r="J42" s="31">
        <f t="shared" si="1"/>
        <v>0.5652809502975051</v>
      </c>
      <c r="K42" s="43">
        <f t="shared" si="1"/>
        <v>9276.26039438206</v>
      </c>
      <c r="L42" s="6">
        <f t="shared" si="1"/>
        <v>18552.52078876412</v>
      </c>
      <c r="M42" s="2">
        <f t="shared" si="1"/>
        <v>27828.78118314618</v>
      </c>
      <c r="N42" s="2">
        <f t="shared" si="1"/>
        <v>37105.04157752824</v>
      </c>
    </row>
    <row r="43" spans="2:14" ht="12.75">
      <c r="B43" s="1" t="s">
        <v>74</v>
      </c>
      <c r="C43" s="4" t="s">
        <v>37</v>
      </c>
      <c r="D43" s="4"/>
      <c r="E43" s="2"/>
      <c r="F43" s="2">
        <v>5004925.7</v>
      </c>
      <c r="G43" s="2">
        <v>3548598.7</v>
      </c>
      <c r="H43" s="2">
        <v>1456327</v>
      </c>
      <c r="I43" s="2">
        <f>G43/G22*C5</f>
        <v>196263.59796468946</v>
      </c>
      <c r="J43" s="31">
        <f>I43/C5/12</f>
        <v>2.9899999689928314</v>
      </c>
      <c r="K43" s="43">
        <f>J43*C5*3</f>
        <v>49065.899491172364</v>
      </c>
      <c r="L43" s="6">
        <f>J43*C5*6</f>
        <v>98131.79898234473</v>
      </c>
      <c r="M43" s="2">
        <f>J43*C5*9</f>
        <v>147197.69847351708</v>
      </c>
      <c r="N43" s="50">
        <f>J43*C5*12</f>
        <v>196263.59796468946</v>
      </c>
    </row>
    <row r="44" spans="2:14" ht="25.5">
      <c r="B44" s="1" t="s">
        <v>75</v>
      </c>
      <c r="C44" s="4" t="s">
        <v>38</v>
      </c>
      <c r="D44" s="4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51">
      <c r="B45" s="1" t="s">
        <v>76</v>
      </c>
      <c r="C45" s="3" t="s">
        <v>447</v>
      </c>
      <c r="D45" s="3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21555.59251362917</v>
      </c>
      <c r="J45" s="30">
        <f>I45/C5/12</f>
        <v>0.3283911108109258</v>
      </c>
      <c r="K45" s="42">
        <f>J45*C5*3</f>
        <v>5388.8981284072925</v>
      </c>
      <c r="L45" s="7">
        <f>J45*C5*6</f>
        <v>10777.796256814585</v>
      </c>
      <c r="M45" s="1">
        <f>J45*C5*9</f>
        <v>16166.69438522188</v>
      </c>
      <c r="N45" s="1">
        <f>J45*C5*12</f>
        <v>21555.59251362917</v>
      </c>
    </row>
    <row r="46" spans="2:14" ht="76.5">
      <c r="B46" s="1" t="s">
        <v>78</v>
      </c>
      <c r="C46" s="4" t="s">
        <v>446</v>
      </c>
      <c r="D46" s="3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7328.887849025286</v>
      </c>
      <c r="J46" s="30">
        <f>I46/C5/12</f>
        <v>0.11165277039953209</v>
      </c>
      <c r="K46" s="42">
        <f>J46*C5*3</f>
        <v>1832.2219622563216</v>
      </c>
      <c r="L46" s="7">
        <f>J46*C5*6</f>
        <v>3664.443924512643</v>
      </c>
      <c r="M46" s="1">
        <f>J46*C5*9</f>
        <v>5496.665886768965</v>
      </c>
      <c r="N46" s="1">
        <f>J46*C5*12</f>
        <v>7328.887849025286</v>
      </c>
    </row>
    <row r="47" spans="2:14" ht="76.5">
      <c r="B47" s="1" t="s">
        <v>80</v>
      </c>
      <c r="C47" s="29" t="s">
        <v>129</v>
      </c>
      <c r="D47" s="3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4306.661836289025</v>
      </c>
      <c r="J47" s="30">
        <f>I47/C5/12</f>
        <v>0.06561032657356833</v>
      </c>
      <c r="K47" s="42">
        <f>J47*C5*3</f>
        <v>1076.6654590722562</v>
      </c>
      <c r="L47" s="7">
        <f>J47*C5*6</f>
        <v>2153.3309181445125</v>
      </c>
      <c r="M47" s="1">
        <f>J47*C5*9</f>
        <v>3229.9963772167685</v>
      </c>
      <c r="N47" s="1">
        <f>J47*C5*12</f>
        <v>4306.661836289025</v>
      </c>
    </row>
    <row r="48" spans="2:14" ht="12.75">
      <c r="B48" s="1"/>
      <c r="C48" s="4" t="s">
        <v>268</v>
      </c>
      <c r="D48" s="3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4" t="s">
        <v>267</v>
      </c>
      <c r="D49" s="3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4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33191.14219894348</v>
      </c>
      <c r="J50" s="31">
        <f t="shared" si="2"/>
        <v>0.5056542077840263</v>
      </c>
      <c r="K50" s="43">
        <f t="shared" si="2"/>
        <v>8297.78554973587</v>
      </c>
      <c r="L50" s="6">
        <f t="shared" si="2"/>
        <v>16595.57109947174</v>
      </c>
      <c r="M50" s="2">
        <f t="shared" si="2"/>
        <v>24893.356649207613</v>
      </c>
      <c r="N50" s="2">
        <f t="shared" si="2"/>
        <v>33191.14219894348</v>
      </c>
    </row>
    <row r="51" spans="2:14" ht="38.25">
      <c r="B51" s="1" t="s">
        <v>81</v>
      </c>
      <c r="C51" s="4" t="s">
        <v>39</v>
      </c>
      <c r="D51" s="4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25.5">
      <c r="B52" s="1" t="s">
        <v>82</v>
      </c>
      <c r="C52" s="3" t="s">
        <v>83</v>
      </c>
      <c r="D52" s="3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25779.940417702965</v>
      </c>
      <c r="J52" s="30">
        <f>I52/C5/12</f>
        <v>0.3927474164793261</v>
      </c>
      <c r="K52" s="42">
        <f>J52*C5*3</f>
        <v>6444.985104425741</v>
      </c>
      <c r="L52" s="7">
        <f>J52*C5*6</f>
        <v>12889.970208851482</v>
      </c>
      <c r="M52" s="1">
        <f>J52*C5*9</f>
        <v>19334.955313277223</v>
      </c>
      <c r="N52" s="1">
        <f>J52*C5*12</f>
        <v>25779.940417702965</v>
      </c>
    </row>
    <row r="53" spans="2:14" ht="25.5">
      <c r="B53" s="1" t="s">
        <v>84</v>
      </c>
      <c r="C53" s="3" t="s">
        <v>427</v>
      </c>
      <c r="D53" s="3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8765.18106939546</v>
      </c>
      <c r="J53" s="30">
        <f>I53/C5/12</f>
        <v>0.13353414182503745</v>
      </c>
      <c r="K53" s="42">
        <f>J53*C5*3</f>
        <v>2191.2952673488644</v>
      </c>
      <c r="L53" s="7">
        <f>J53*C5*6</f>
        <v>4382.590534697729</v>
      </c>
      <c r="M53" s="1">
        <f>J53*C5*9</f>
        <v>6573.885802046593</v>
      </c>
      <c r="N53" s="1">
        <f>J53*C5*12</f>
        <v>8765.181069395458</v>
      </c>
    </row>
    <row r="54" spans="2:14" ht="38.25">
      <c r="B54" s="1" t="s">
        <v>86</v>
      </c>
      <c r="C54" s="3" t="s">
        <v>87</v>
      </c>
      <c r="D54" s="3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17226.64181442088</v>
      </c>
      <c r="J54" s="30">
        <f>I54/C5/12</f>
        <v>0.2624412220356624</v>
      </c>
      <c r="K54" s="42">
        <f>J54*C5*3</f>
        <v>4306.66045360522</v>
      </c>
      <c r="L54" s="7">
        <f>J54*C5*6</f>
        <v>8613.32090721044</v>
      </c>
      <c r="M54" s="1">
        <f>J54*C5*9</f>
        <v>12919.98136081566</v>
      </c>
      <c r="N54" s="1">
        <f>J54*C5*12</f>
        <v>17226.64181442088</v>
      </c>
    </row>
    <row r="55" spans="2:14" ht="25.5">
      <c r="B55" s="1" t="s">
        <v>88</v>
      </c>
      <c r="C55" s="3" t="s">
        <v>130</v>
      </c>
      <c r="D55" s="3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25.5">
      <c r="B56" s="1" t="s">
        <v>89</v>
      </c>
      <c r="C56" s="3" t="s">
        <v>90</v>
      </c>
      <c r="D56" s="3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51">
      <c r="B57" s="1" t="s">
        <v>91</v>
      </c>
      <c r="C57" s="3" t="s">
        <v>92</v>
      </c>
      <c r="D57" s="3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3"/>
      <c r="D58" s="3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4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51771.763301519306</v>
      </c>
      <c r="J59" s="31">
        <f t="shared" si="3"/>
        <v>0.7887227803400259</v>
      </c>
      <c r="K59" s="43">
        <f t="shared" si="3"/>
        <v>12942.940825379826</v>
      </c>
      <c r="L59" s="6">
        <f t="shared" si="3"/>
        <v>25885.881650759653</v>
      </c>
      <c r="M59" s="2">
        <f t="shared" si="3"/>
        <v>38828.822476139474</v>
      </c>
      <c r="N59" s="2">
        <f t="shared" si="3"/>
        <v>51771.763301519306</v>
      </c>
    </row>
    <row r="60" spans="2:14" ht="38.25">
      <c r="B60" s="1" t="s">
        <v>95</v>
      </c>
      <c r="C60" s="4" t="s">
        <v>481</v>
      </c>
      <c r="D60" s="4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12.75">
      <c r="B61" s="1" t="s">
        <v>96</v>
      </c>
      <c r="C61" s="3" t="s">
        <v>97</v>
      </c>
      <c r="D61" s="3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117142.3158371339</v>
      </c>
      <c r="J61" s="30">
        <f>I61/C5/12</f>
        <v>1.7846178524852816</v>
      </c>
      <c r="K61" s="42">
        <f>J61*C5*3</f>
        <v>29285.57895928347</v>
      </c>
      <c r="L61" s="7">
        <f>J61*C5*6</f>
        <v>58571.15791856694</v>
      </c>
      <c r="M61" s="1">
        <f>J61*C5*9</f>
        <v>87856.73687785042</v>
      </c>
      <c r="N61" s="1">
        <f>J61*C5*12</f>
        <v>117142.31583713388</v>
      </c>
    </row>
    <row r="62" spans="2:14" ht="12.75">
      <c r="B62" s="1" t="s">
        <v>98</v>
      </c>
      <c r="C62" s="3" t="s">
        <v>99</v>
      </c>
      <c r="D62" s="3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39828.38948630491</v>
      </c>
      <c r="J62" s="30">
        <f>I62/C5/12</f>
        <v>0.606770101863268</v>
      </c>
      <c r="K62" s="42">
        <f>J62*C5*3</f>
        <v>9957.097371576228</v>
      </c>
      <c r="L62" s="7">
        <f>J62*C5*6</f>
        <v>19914.194743152457</v>
      </c>
      <c r="M62" s="1">
        <f>J62*C5*9</f>
        <v>29871.292114728683</v>
      </c>
      <c r="N62" s="1">
        <f>J62*C5*12</f>
        <v>39828.38948630491</v>
      </c>
    </row>
    <row r="63" spans="2:14" ht="12.75">
      <c r="B63" s="1" t="s">
        <v>100</v>
      </c>
      <c r="C63" s="4" t="s">
        <v>169</v>
      </c>
      <c r="D63" s="3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27788.825124219096</v>
      </c>
      <c r="J63" s="30">
        <f>I63/C5/12</f>
        <v>0.4233519976267382</v>
      </c>
      <c r="K63" s="42">
        <f>J63*C5*3</f>
        <v>6947.206281054773</v>
      </c>
      <c r="L63" s="7">
        <f>J63*C5*6</f>
        <v>13894.412562109546</v>
      </c>
      <c r="M63" s="1">
        <f>J63*C5*9</f>
        <v>20841.61884316432</v>
      </c>
      <c r="N63" s="1">
        <f>J63*C5*12</f>
        <v>27788.825124219093</v>
      </c>
    </row>
    <row r="64" spans="2:14" ht="25.5">
      <c r="B64" s="1" t="s">
        <v>102</v>
      </c>
      <c r="C64" s="3" t="s">
        <v>103</v>
      </c>
      <c r="D64" s="3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25.5">
      <c r="B65" s="1" t="s">
        <v>104</v>
      </c>
      <c r="C65" s="4" t="s">
        <v>410</v>
      </c>
      <c r="D65" s="3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38.25">
      <c r="B66" s="1" t="s">
        <v>105</v>
      </c>
      <c r="C66" s="3" t="s">
        <v>106</v>
      </c>
      <c r="D66" s="3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4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184759.5304476579</v>
      </c>
      <c r="J67" s="31">
        <f t="shared" si="4"/>
        <v>2.814739951975288</v>
      </c>
      <c r="K67" s="43">
        <f t="shared" si="4"/>
        <v>46189.88261191447</v>
      </c>
      <c r="L67" s="6">
        <f t="shared" si="4"/>
        <v>92379.76522382894</v>
      </c>
      <c r="M67" s="2">
        <f t="shared" si="4"/>
        <v>138569.6478357434</v>
      </c>
      <c r="N67" s="2">
        <f t="shared" si="4"/>
        <v>184759.5304476579</v>
      </c>
    </row>
    <row r="68" spans="2:14" ht="12.75">
      <c r="B68" s="1" t="s">
        <v>109</v>
      </c>
      <c r="C68" s="4" t="s">
        <v>482</v>
      </c>
      <c r="D68" s="4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51">
      <c r="B69" s="1" t="s">
        <v>110</v>
      </c>
      <c r="C69" s="3" t="s">
        <v>483</v>
      </c>
      <c r="D69" s="3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10733.569732662256</v>
      </c>
      <c r="J69" s="30">
        <f>I69/C5/12</f>
        <v>0.16352178142386128</v>
      </c>
      <c r="K69" s="42">
        <f>J69*C5*3</f>
        <v>2683.392433165564</v>
      </c>
      <c r="L69" s="7">
        <f>J69*C5*6</f>
        <v>5366.784866331128</v>
      </c>
      <c r="M69" s="1">
        <f>J69*C5*9</f>
        <v>8050.177299496691</v>
      </c>
      <c r="N69" s="1">
        <f>J69*C5*12</f>
        <v>10733.569732662256</v>
      </c>
    </row>
    <row r="70" spans="2:14" ht="12.75">
      <c r="B70" s="1"/>
      <c r="C70" s="3"/>
      <c r="D70" s="3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3649.416916931593</v>
      </c>
      <c r="J70" s="30">
        <f>I70/C5/12</f>
        <v>0.05559745455410714</v>
      </c>
      <c r="K70" s="42">
        <f>J70*C5*3</f>
        <v>912.3542292328982</v>
      </c>
      <c r="L70" s="7">
        <f>J70*C5*6</f>
        <v>1824.7084584657964</v>
      </c>
      <c r="M70" s="1">
        <f>J70*C5*9</f>
        <v>2737.0626876986944</v>
      </c>
      <c r="N70" s="1">
        <f>J70*C5*12</f>
        <v>3649.416916931593</v>
      </c>
    </row>
    <row r="71" spans="2:14" ht="12.75">
      <c r="B71" s="1"/>
      <c r="C71" s="3"/>
      <c r="D71" s="3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3087.6380181323184</v>
      </c>
      <c r="J71" s="30">
        <f>I71/C5/12</f>
        <v>0.04703897041639729</v>
      </c>
      <c r="K71" s="42">
        <f>J71*C5*3</f>
        <v>771.9095045330796</v>
      </c>
      <c r="L71" s="7">
        <f>J71*C5*6</f>
        <v>1543.8190090661592</v>
      </c>
      <c r="M71" s="1">
        <f>J71*C5*9</f>
        <v>2315.728513599239</v>
      </c>
      <c r="N71" s="1">
        <f>J71*C5*12</f>
        <v>3087.6380181323184</v>
      </c>
    </row>
    <row r="72" spans="2:14" ht="25.5">
      <c r="B72" s="1"/>
      <c r="C72" s="3"/>
      <c r="D72" s="3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19035.60150435998</v>
      </c>
      <c r="J72" s="30">
        <f>I72/C5/12</f>
        <v>0.2900000229183422</v>
      </c>
      <c r="K72" s="42">
        <f>J72*C5*3</f>
        <v>4758.900376089995</v>
      </c>
      <c r="L72" s="7">
        <f>J72*C5*6</f>
        <v>9517.80075217999</v>
      </c>
      <c r="M72" s="1">
        <f>J72*C5*9</f>
        <v>14276.701128269986</v>
      </c>
      <c r="N72" s="1">
        <f>J72*C5*12</f>
        <v>19035.60150435998</v>
      </c>
    </row>
    <row r="73" spans="2:14" ht="12.75">
      <c r="B73" s="1"/>
      <c r="C73" s="3"/>
      <c r="D73" s="3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4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36506.22617208614</v>
      </c>
      <c r="J74" s="31">
        <f t="shared" si="5"/>
        <v>0.5561582293127079</v>
      </c>
      <c r="K74" s="43">
        <f t="shared" si="5"/>
        <v>9126.556543021536</v>
      </c>
      <c r="L74" s="6">
        <f t="shared" si="5"/>
        <v>18253.11308604307</v>
      </c>
      <c r="M74" s="2">
        <f t="shared" si="5"/>
        <v>27379.66962906461</v>
      </c>
      <c r="N74" s="2">
        <f t="shared" si="5"/>
        <v>36506.22617208614</v>
      </c>
    </row>
    <row r="75" spans="2:14" ht="12.75">
      <c r="B75" s="1" t="s">
        <v>113</v>
      </c>
      <c r="C75" s="4" t="s">
        <v>484</v>
      </c>
      <c r="D75" s="4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3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3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3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3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4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604050.671904892</v>
      </c>
      <c r="J80" s="31">
        <f>J33+J42+J43+J50+J59+J67+J74</f>
        <v>9.202478243523641</v>
      </c>
      <c r="K80" s="43">
        <f>J80*C5*3</f>
        <v>151012.66797622296</v>
      </c>
      <c r="L80" s="6">
        <f>L33+L42+L43+L50+L59+L67+L74</f>
        <v>302025.335952446</v>
      </c>
      <c r="M80" s="2">
        <f>M33+M42+M43+M50+M59+M67+M74</f>
        <v>453038.0039286689</v>
      </c>
      <c r="N80" s="2">
        <f>N33+N42+N43+N50+N59+N67+N74</f>
        <v>604050.671904892</v>
      </c>
    </row>
    <row r="81" spans="2:14" ht="12.75">
      <c r="B81" s="1"/>
      <c r="C81" s="3" t="s">
        <v>118</v>
      </c>
      <c r="D81" s="3"/>
      <c r="E81" s="1"/>
      <c r="F81" s="1">
        <v>1724360</v>
      </c>
      <c r="G81" s="1">
        <v>1204102.5</v>
      </c>
      <c r="H81" s="1">
        <v>520257.5</v>
      </c>
      <c r="I81" s="1">
        <f>G81/G80*I80</f>
        <v>63235.673006329765</v>
      </c>
      <c r="J81" s="30">
        <f>I81/C5/12</f>
        <v>0.9633710086278149</v>
      </c>
      <c r="K81" s="42">
        <f>J81*C5*3</f>
        <v>15808.918251582443</v>
      </c>
      <c r="L81" s="7">
        <f>J81*C5*6</f>
        <v>31617.836503164886</v>
      </c>
      <c r="M81" s="1">
        <f>J81*C5*9</f>
        <v>47426.75475474733</v>
      </c>
      <c r="N81" s="1">
        <f>J81*C5*12</f>
        <v>63235.67300632977</v>
      </c>
    </row>
    <row r="82" spans="2:14" ht="25.5">
      <c r="B82" s="1"/>
      <c r="C82" s="3" t="s">
        <v>119</v>
      </c>
      <c r="D82" s="3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169297.87790994067</v>
      </c>
      <c r="J82" s="30">
        <f>I82/C5/12</f>
        <v>2.579187658591418</v>
      </c>
      <c r="K82" s="42">
        <f>J82*C5*3</f>
        <v>42324.46947748517</v>
      </c>
      <c r="L82" s="7">
        <f>J82*C5*6</f>
        <v>84648.93895497033</v>
      </c>
      <c r="M82" s="1">
        <f>J82*C5*9</f>
        <v>126973.4084324555</v>
      </c>
      <c r="N82" s="1">
        <f>J82*C5*12</f>
        <v>169297.87790994067</v>
      </c>
    </row>
    <row r="83" spans="2:14" ht="12.75">
      <c r="B83" s="2" t="s">
        <v>590</v>
      </c>
      <c r="C83" s="4"/>
      <c r="D83" s="4"/>
      <c r="E83" s="2"/>
      <c r="F83" s="2">
        <v>26668865.67</v>
      </c>
      <c r="G83" s="2">
        <v>15929824.3</v>
      </c>
      <c r="H83" s="2">
        <v>10739041.4</v>
      </c>
      <c r="I83" s="2">
        <f>I80+I81+I82</f>
        <v>836584.2228211624</v>
      </c>
      <c r="J83" s="31">
        <f>J80+J81+J82</f>
        <v>12.745036910742876</v>
      </c>
      <c r="K83" s="43">
        <f>J83*C5*3</f>
        <v>209146.05570529058</v>
      </c>
      <c r="L83" s="6">
        <f>SUM(L80:L82)</f>
        <v>418292.1114105812</v>
      </c>
      <c r="M83" s="2">
        <f>SUM(M80:M82)</f>
        <v>627438.1671158718</v>
      </c>
      <c r="N83" s="2">
        <f>SUM(N80:N82)</f>
        <v>836584.2228211624</v>
      </c>
    </row>
    <row r="84" spans="2:14" ht="12.75">
      <c r="B84" s="1" t="s">
        <v>120</v>
      </c>
      <c r="C84" s="3"/>
      <c r="D84" s="3"/>
      <c r="E84" s="1"/>
      <c r="F84" s="1">
        <v>1333443.28</v>
      </c>
      <c r="G84" s="1">
        <v>796491.2</v>
      </c>
      <c r="H84" s="1">
        <v>536952.07</v>
      </c>
      <c r="I84" s="1">
        <f>G84/G83*I83</f>
        <v>41829.21035330534</v>
      </c>
      <c r="J84" s="30">
        <f>I84/C5/12</f>
        <v>0.637251833536035</v>
      </c>
      <c r="K84" s="42">
        <f>J84*C5*3</f>
        <v>10457.302588326334</v>
      </c>
      <c r="L84" s="7">
        <f>J84*C5*6</f>
        <v>20914.60517665267</v>
      </c>
      <c r="M84" s="1"/>
      <c r="N84" s="1"/>
    </row>
    <row r="85" spans="2:14" ht="12.75">
      <c r="B85" s="1"/>
      <c r="C85" s="4" t="s">
        <v>121</v>
      </c>
      <c r="D85" s="4"/>
      <c r="E85" s="2"/>
      <c r="F85" s="2">
        <v>28002308.95</v>
      </c>
      <c r="G85" s="2">
        <v>16726315.5</v>
      </c>
      <c r="H85" s="2">
        <v>11275993.5</v>
      </c>
      <c r="I85" s="2">
        <f>I83+I84</f>
        <v>878413.4331744678</v>
      </c>
      <c r="J85" s="31">
        <f>J83+J84</f>
        <v>13.382288744278911</v>
      </c>
      <c r="K85" s="43">
        <f>J85*C5*3</f>
        <v>219603.35829361694</v>
      </c>
      <c r="L85" s="6">
        <f>SUM(L83:L84)</f>
        <v>439206.7165872339</v>
      </c>
      <c r="M85" s="2">
        <f>M83+M84</f>
        <v>627438.1671158718</v>
      </c>
      <c r="N85" s="2">
        <f>N83+N84</f>
        <v>836584.2228211624</v>
      </c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>
        <v>18369.84</v>
      </c>
      <c r="M86" s="2">
        <v>18369.84</v>
      </c>
      <c r="N86" s="2">
        <v>18369.84</v>
      </c>
    </row>
    <row r="87" spans="2:14" ht="12.75">
      <c r="B87" s="1"/>
      <c r="C87" s="1" t="s">
        <v>514</v>
      </c>
      <c r="D87" s="3"/>
      <c r="E87" s="1"/>
      <c r="F87" s="1"/>
      <c r="G87" s="1"/>
      <c r="H87" s="1"/>
      <c r="I87" s="1"/>
      <c r="J87" s="1">
        <v>15.01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4">
      <pane xSplit="1" ySplit="15" topLeftCell="B58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C65" sqref="C65"/>
    </sheetView>
  </sheetViews>
  <sheetFormatPr defaultColWidth="9.140625" defaultRowHeight="12.75"/>
  <cols>
    <col min="3" max="3" width="39.8515625" style="0" customWidth="1"/>
    <col min="4" max="5" width="16.00390625" style="0" hidden="1" customWidth="1"/>
    <col min="6" max="6" width="13.8515625" style="0" hidden="1" customWidth="1"/>
    <col min="7" max="7" width="15.57421875" style="0" hidden="1" customWidth="1"/>
    <col min="8" max="8" width="14.7109375" style="0" hidden="1" customWidth="1"/>
    <col min="9" max="9" width="12.00390625" style="0" hidden="1" customWidth="1"/>
    <col min="10" max="10" width="11.7109375" style="0" hidden="1" customWidth="1"/>
    <col min="11" max="11" width="14.140625" style="0" hidden="1" customWidth="1"/>
    <col min="12" max="12" width="12.421875" style="0" customWidth="1"/>
    <col min="13" max="13" width="11.140625" style="0" customWidth="1"/>
    <col min="14" max="14" width="11.28125" style="0" customWidth="1"/>
    <col min="15" max="15" width="13.28125" style="0" customWidth="1"/>
    <col min="16" max="16" width="11.421875" style="0" customWidth="1"/>
    <col min="17" max="17" width="11.28125" style="0" customWidth="1"/>
    <col min="18" max="18" width="13.421875" style="0" customWidth="1"/>
  </cols>
  <sheetData>
    <row r="4" spans="2:3" ht="12.75">
      <c r="B4" s="5" t="s">
        <v>487</v>
      </c>
      <c r="C4" s="5" t="s">
        <v>512</v>
      </c>
    </row>
    <row r="5" spans="2:3" ht="12.75">
      <c r="B5" t="s">
        <v>488</v>
      </c>
      <c r="C5">
        <v>5452.66</v>
      </c>
    </row>
    <row r="6" spans="2:3" ht="12.75">
      <c r="B6" t="s">
        <v>489</v>
      </c>
      <c r="C6">
        <v>1925</v>
      </c>
    </row>
    <row r="7" spans="2:3" ht="12.75">
      <c r="B7" t="s">
        <v>490</v>
      </c>
      <c r="C7">
        <v>1325</v>
      </c>
    </row>
    <row r="8" spans="2:3" ht="12.75">
      <c r="B8" t="s">
        <v>491</v>
      </c>
      <c r="C8">
        <v>463.9</v>
      </c>
    </row>
    <row r="9" spans="2:3" ht="12.75">
      <c r="B9" t="s">
        <v>492</v>
      </c>
      <c r="C9">
        <v>6</v>
      </c>
    </row>
    <row r="10" spans="2:3" ht="12.75">
      <c r="B10" t="s">
        <v>493</v>
      </c>
      <c r="C10">
        <v>109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44868.40868664255</v>
      </c>
      <c r="J27" s="30">
        <f>I27/C5/12</f>
        <v>0.6857266099885583</v>
      </c>
      <c r="K27" s="42">
        <f>J27*C5*3</f>
        <v>11217.102171660637</v>
      </c>
      <c r="L27" s="7">
        <f>J27*C5*6</f>
        <v>22434.204343321275</v>
      </c>
      <c r="M27" s="1">
        <f>J27*C5*9</f>
        <v>33651.30651498191</v>
      </c>
      <c r="N27" s="1">
        <f>J27*C5*12</f>
        <v>44868.40868664255</v>
      </c>
    </row>
    <row r="28" spans="2:14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15255.257751833999</v>
      </c>
      <c r="J28" s="30">
        <f>I28/C5/12</f>
        <v>0.23314702903161025</v>
      </c>
      <c r="K28" s="42">
        <f>J28*C5*3</f>
        <v>3813.814437958499</v>
      </c>
      <c r="L28" s="7">
        <f>J28*C5*6</f>
        <v>7627.628875916998</v>
      </c>
      <c r="M28" s="1">
        <f>J28*C5*9</f>
        <v>11441.443313875498</v>
      </c>
      <c r="N28" s="1">
        <f>J28*C5*12</f>
        <v>15255.257751833997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3049.624192160744</v>
      </c>
      <c r="J29" s="30">
        <f>I29/C5/12</f>
        <v>0.04660759140432902</v>
      </c>
      <c r="K29" s="42">
        <f>J29*C5*3</f>
        <v>762.406048040186</v>
      </c>
      <c r="L29" s="7">
        <f>J29*C5*6</f>
        <v>1524.812096080372</v>
      </c>
      <c r="M29" s="1">
        <f>J29*C5*9</f>
        <v>2287.218144120558</v>
      </c>
      <c r="N29" s="1">
        <f>J29*C5*12</f>
        <v>3049.624192160744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7"/>
      <c r="M30" s="1"/>
      <c r="N30" s="1"/>
    </row>
    <row r="31" spans="2:14" ht="25.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63173.29063063729</v>
      </c>
      <c r="J33" s="31">
        <f t="shared" si="0"/>
        <v>0.9654812304244975</v>
      </c>
      <c r="K33" s="43">
        <f t="shared" si="0"/>
        <v>15793.322657659322</v>
      </c>
      <c r="L33" s="6">
        <f t="shared" si="0"/>
        <v>31586.645315318645</v>
      </c>
      <c r="M33" s="2">
        <f t="shared" si="0"/>
        <v>47379.96797297797</v>
      </c>
      <c r="N33" s="2">
        <f t="shared" si="0"/>
        <v>63173.29063063729</v>
      </c>
    </row>
    <row r="34" spans="2:14" ht="38.25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12.7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23833.246253326903</v>
      </c>
      <c r="J35" s="30">
        <f>I35/C5/12</f>
        <v>0.36424494731817286</v>
      </c>
      <c r="K35" s="42">
        <f>J35*C5*3</f>
        <v>5958.311563331725</v>
      </c>
      <c r="L35" s="7">
        <f>J35*C5*6</f>
        <v>11916.62312666345</v>
      </c>
      <c r="M35" s="1">
        <f>J35*C5*9</f>
        <v>17874.934689995174</v>
      </c>
      <c r="N35" s="1">
        <f>J35*C5*12</f>
        <v>23833.2462533269</v>
      </c>
    </row>
    <row r="36" spans="2:14" ht="12.75">
      <c r="B36" s="1" t="s">
        <v>63</v>
      </c>
      <c r="C36" s="3" t="s">
        <v>313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8103.304638397882</v>
      </c>
      <c r="J36" s="30">
        <f>I36/C5/12</f>
        <v>0.1238432960304066</v>
      </c>
      <c r="K36" s="42">
        <f>J36*C5*3</f>
        <v>2025.8261595994704</v>
      </c>
      <c r="L36" s="7">
        <f>J36*C5*6</f>
        <v>4051.652319198941</v>
      </c>
      <c r="M36" s="1">
        <f>J36*C5*9</f>
        <v>6077.478478798412</v>
      </c>
      <c r="N36" s="1">
        <f>J36*C5*12</f>
        <v>8103.304638397882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3377.0207027133238</v>
      </c>
      <c r="J37" s="30">
        <f>I37/C5/12</f>
        <v>0.05161121212266618</v>
      </c>
      <c r="K37" s="42">
        <f>J37*C5*3</f>
        <v>844.2551756783309</v>
      </c>
      <c r="L37" s="7">
        <f>J37*C5*6</f>
        <v>1688.5103513566619</v>
      </c>
      <c r="M37" s="1">
        <f>J37*C5*9</f>
        <v>2532.765527034993</v>
      </c>
      <c r="N37" s="1">
        <f>J37*C5*12</f>
        <v>3377.0207027133238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1613.4142124777675</v>
      </c>
      <c r="J38" s="30">
        <f>I38/C5/12</f>
        <v>0.02465790721833881</v>
      </c>
      <c r="K38" s="42">
        <f>J38*C5*3</f>
        <v>403.3535531194418</v>
      </c>
      <c r="L38" s="7">
        <f>J38*C5*6</f>
        <v>806.7071062388836</v>
      </c>
      <c r="M38" s="1">
        <f>J38*C5*9</f>
        <v>1210.0606593583254</v>
      </c>
      <c r="N38" s="1">
        <f>J38*C5*12</f>
        <v>1613.4142124777673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25.5">
      <c r="B40" s="1" t="s">
        <v>70</v>
      </c>
      <c r="C40" s="4" t="s">
        <v>161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1174.190881223063</v>
      </c>
      <c r="J41" s="30">
        <f>I41/C5/12</f>
        <v>0.017945230420000863</v>
      </c>
      <c r="K41" s="42">
        <f>J41*C5*3</f>
        <v>293.5477203057657</v>
      </c>
      <c r="L41" s="7">
        <f>J41*C5*6</f>
        <v>587.0954406115314</v>
      </c>
      <c r="M41" s="1">
        <f>J41*C5*9</f>
        <v>880.6431609172971</v>
      </c>
      <c r="N41" s="1">
        <f>J41*C5*12</f>
        <v>1174.190881223063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38101.176688138934</v>
      </c>
      <c r="J42" s="31">
        <f t="shared" si="1"/>
        <v>0.5823025931095853</v>
      </c>
      <c r="K42" s="43">
        <f t="shared" si="1"/>
        <v>9525.294172034732</v>
      </c>
      <c r="L42" s="6">
        <f t="shared" si="1"/>
        <v>19050.588344069463</v>
      </c>
      <c r="M42" s="2">
        <f t="shared" si="1"/>
        <v>28575.882516104204</v>
      </c>
      <c r="N42" s="2">
        <f t="shared" si="1"/>
        <v>38101.17668813893</v>
      </c>
    </row>
    <row r="43" spans="2:14" ht="12.7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195641.4387711414</v>
      </c>
      <c r="J43" s="31">
        <f>I43/C5/12</f>
        <v>2.9899999689928314</v>
      </c>
      <c r="K43" s="43">
        <f>J43*C5*3</f>
        <v>48910.35969278535</v>
      </c>
      <c r="L43" s="6">
        <f>J43*C5*6</f>
        <v>97820.7193855707</v>
      </c>
      <c r="M43" s="2">
        <f>J43*C5*9</f>
        <v>146731.07907835607</v>
      </c>
      <c r="N43" s="50">
        <f>J43*C5*12</f>
        <v>195641.4387711414</v>
      </c>
    </row>
    <row r="44" spans="2:14" ht="25.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51">
      <c r="B45" s="1" t="s">
        <v>76</v>
      </c>
      <c r="C45" s="3" t="s">
        <v>269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21487.26089129163</v>
      </c>
      <c r="J45" s="30">
        <f>I45/C5/12</f>
        <v>0.32839111081092576</v>
      </c>
      <c r="K45" s="42">
        <f>J45*C5*3</f>
        <v>5371.815222822906</v>
      </c>
      <c r="L45" s="7">
        <f>J45*C5*6</f>
        <v>10743.630445645813</v>
      </c>
      <c r="M45" s="1">
        <f>J45*C5*9</f>
        <v>16115.445668468721</v>
      </c>
      <c r="N45" s="1">
        <f>J45*C5*12</f>
        <v>21487.260891291626</v>
      </c>
    </row>
    <row r="46" spans="2:14" ht="51">
      <c r="B46" s="1" t="s">
        <v>78</v>
      </c>
      <c r="C46" s="3" t="s">
        <v>480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7305.655140560551</v>
      </c>
      <c r="J46" s="30">
        <f>I46/C5/12</f>
        <v>0.11165277039953209</v>
      </c>
      <c r="K46" s="42">
        <f>J46*C5*3</f>
        <v>1826.4137851401379</v>
      </c>
      <c r="L46" s="7">
        <f>J46*C5*6</f>
        <v>3652.8275702802757</v>
      </c>
      <c r="M46" s="1">
        <f>J46*C5*9</f>
        <v>5479.241355420414</v>
      </c>
      <c r="N46" s="1">
        <f>J46*C5*12</f>
        <v>7305.655140560551</v>
      </c>
    </row>
    <row r="47" spans="2:14" ht="89.2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4293.009639535596</v>
      </c>
      <c r="J47" s="30">
        <f>I47/C5/12</f>
        <v>0.06561032657356831</v>
      </c>
      <c r="K47" s="42">
        <f>J47*C5*3</f>
        <v>1073.252409883899</v>
      </c>
      <c r="L47" s="7">
        <f>J47*C5*6</f>
        <v>2146.504819767798</v>
      </c>
      <c r="M47" s="1">
        <f>J47*C5*9</f>
        <v>3219.757229651697</v>
      </c>
      <c r="N47" s="1">
        <f>J47*C5*12</f>
        <v>4293.009639535596</v>
      </c>
    </row>
    <row r="48" spans="2:14" ht="12.75">
      <c r="B48" s="1"/>
      <c r="C48" s="4" t="s">
        <v>181</v>
      </c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4" t="s">
        <v>263</v>
      </c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33085.92567138778</v>
      </c>
      <c r="J50" s="31">
        <f t="shared" si="2"/>
        <v>0.5056542077840261</v>
      </c>
      <c r="K50" s="43">
        <f t="shared" si="2"/>
        <v>8271.481417846942</v>
      </c>
      <c r="L50" s="6">
        <f t="shared" si="2"/>
        <v>16542.962835693885</v>
      </c>
      <c r="M50" s="2">
        <f t="shared" si="2"/>
        <v>24814.44425354083</v>
      </c>
      <c r="N50" s="2">
        <f t="shared" si="2"/>
        <v>33085.92567138777</v>
      </c>
    </row>
    <row r="51" spans="2:14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38.25">
      <c r="B52" s="1" t="s">
        <v>82</v>
      </c>
      <c r="C52" s="4" t="s">
        <v>445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25698.217535281947</v>
      </c>
      <c r="J52" s="30">
        <f>I52/C5/12</f>
        <v>0.3927474164793261</v>
      </c>
      <c r="K52" s="42">
        <f>J52*C5*3</f>
        <v>6424.554383820487</v>
      </c>
      <c r="L52" s="7">
        <f>J52*C5*6</f>
        <v>12849.108767640973</v>
      </c>
      <c r="M52" s="1">
        <f>J52*C5*9</f>
        <v>19273.66315146146</v>
      </c>
      <c r="N52" s="1">
        <f>J52*C5*12</f>
        <v>25698.217535281947</v>
      </c>
    </row>
    <row r="53" spans="2:14" ht="25.5">
      <c r="B53" s="1" t="s">
        <v>84</v>
      </c>
      <c r="C53" s="3" t="s">
        <v>427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8737.395285164504</v>
      </c>
      <c r="J53" s="30">
        <f>I53/C5/12</f>
        <v>0.13353414182503745</v>
      </c>
      <c r="K53" s="42">
        <f>J53*C5*3</f>
        <v>2184.348821291126</v>
      </c>
      <c r="L53" s="7">
        <f>J53*C5*6</f>
        <v>4368.697642582252</v>
      </c>
      <c r="M53" s="1">
        <f>J53*C5*9</f>
        <v>6553.046463873378</v>
      </c>
      <c r="N53" s="1">
        <f>J53*C5*12</f>
        <v>8737.395285164504</v>
      </c>
    </row>
    <row r="54" spans="2:14" ht="51">
      <c r="B54" s="1" t="s">
        <v>86</v>
      </c>
      <c r="C54" s="3" t="s">
        <v>465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17172.0330449397</v>
      </c>
      <c r="J54" s="30">
        <f>I54/C5/12</f>
        <v>0.2624412220356624</v>
      </c>
      <c r="K54" s="42">
        <f>J54*C5*3</f>
        <v>4293.008261234924</v>
      </c>
      <c r="L54" s="7">
        <f>J54*C5*6</f>
        <v>8586.016522469848</v>
      </c>
      <c r="M54" s="1">
        <f>J54*C5*9</f>
        <v>12879.024783704774</v>
      </c>
      <c r="N54" s="1">
        <f>J54*C5*12</f>
        <v>17172.033044939697</v>
      </c>
    </row>
    <row r="55" spans="2:14" ht="25.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25.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63.75">
      <c r="B57" s="1" t="s">
        <v>91</v>
      </c>
      <c r="C57" s="3" t="s">
        <v>92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4" t="s">
        <v>168</v>
      </c>
      <c r="D58" s="1"/>
      <c r="E58" s="1"/>
      <c r="F58" s="1"/>
      <c r="G58" s="1"/>
      <c r="H58" s="1"/>
      <c r="I58" s="1"/>
      <c r="J58" s="1"/>
      <c r="K58" s="42"/>
      <c r="L58" s="7"/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51607.64586538615</v>
      </c>
      <c r="J59" s="31">
        <f t="shared" si="3"/>
        <v>0.7887227803400259</v>
      </c>
      <c r="K59" s="43">
        <f t="shared" si="3"/>
        <v>12901.911466346537</v>
      </c>
      <c r="L59" s="6">
        <f t="shared" si="3"/>
        <v>25803.822932693074</v>
      </c>
      <c r="M59" s="2">
        <f t="shared" si="3"/>
        <v>38705.73439903961</v>
      </c>
      <c r="N59" s="2">
        <f t="shared" si="3"/>
        <v>51607.64586538615</v>
      </c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63.75">
      <c r="B61" s="1" t="s">
        <v>96</v>
      </c>
      <c r="C61" s="3" t="s">
        <v>365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116770.97255438875</v>
      </c>
      <c r="J61" s="30">
        <f>I61/C5/12</f>
        <v>1.7846178524852816</v>
      </c>
      <c r="K61" s="42">
        <f>J61*C5*3</f>
        <v>29192.743138597187</v>
      </c>
      <c r="L61" s="7">
        <f>J61*C5*6</f>
        <v>58385.48627719437</v>
      </c>
      <c r="M61" s="1">
        <f>J61*C5*9</f>
        <v>87578.22941579156</v>
      </c>
      <c r="N61" s="1">
        <f>J61*C5*12</f>
        <v>116770.97255438875</v>
      </c>
    </row>
    <row r="62" spans="2:14" ht="25.5">
      <c r="B62" s="1" t="s">
        <v>98</v>
      </c>
      <c r="C62" s="3" t="s">
        <v>166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39702.1327635092</v>
      </c>
      <c r="J62" s="30">
        <f>I62/C5/12</f>
        <v>0.606770101863268</v>
      </c>
      <c r="K62" s="42">
        <f>J62*C5*3</f>
        <v>9925.533190877299</v>
      </c>
      <c r="L62" s="7">
        <f>J62*C5*6</f>
        <v>19851.066381754597</v>
      </c>
      <c r="M62" s="1">
        <f>J62*C5*9</f>
        <v>29776.599572631898</v>
      </c>
      <c r="N62" s="1">
        <f>J62*C5*12</f>
        <v>39702.132763509195</v>
      </c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27700.734040552925</v>
      </c>
      <c r="J63" s="30">
        <f>I63/C5/12</f>
        <v>0.4233519976267382</v>
      </c>
      <c r="K63" s="42">
        <f>J63*C5*3</f>
        <v>6925.183510138231</v>
      </c>
      <c r="L63" s="7">
        <f>J63*C5*6</f>
        <v>13850.367020276462</v>
      </c>
      <c r="M63" s="1">
        <f>J63*C5*9</f>
        <v>20775.550530414694</v>
      </c>
      <c r="N63" s="1">
        <f>J63*C5*12</f>
        <v>27700.734040552925</v>
      </c>
    </row>
    <row r="64" spans="2:14" ht="25.5">
      <c r="B64" s="1" t="s">
        <v>102</v>
      </c>
      <c r="C64" s="3" t="s">
        <v>167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38.25">
      <c r="B65" s="1" t="s">
        <v>104</v>
      </c>
      <c r="C65" s="4" t="s">
        <v>409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38.25">
      <c r="B66" s="1" t="s">
        <v>105</v>
      </c>
      <c r="C66" s="3" t="s">
        <v>106</v>
      </c>
      <c r="D66" s="1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184173.83935845087</v>
      </c>
      <c r="J67" s="31">
        <f t="shared" si="4"/>
        <v>2.814739951975288</v>
      </c>
      <c r="K67" s="43">
        <f t="shared" si="4"/>
        <v>46043.45983961272</v>
      </c>
      <c r="L67" s="6">
        <f t="shared" si="4"/>
        <v>92086.91967922544</v>
      </c>
      <c r="M67" s="2">
        <f t="shared" si="4"/>
        <v>138130.37951883813</v>
      </c>
      <c r="N67" s="2">
        <f t="shared" si="4"/>
        <v>184173.83935845087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51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10699.54412038358</v>
      </c>
      <c r="J69" s="30">
        <f>I69/C5/12</f>
        <v>0.16352178142386134</v>
      </c>
      <c r="K69" s="42">
        <f>J69*C5*3</f>
        <v>2674.886030095895</v>
      </c>
      <c r="L69" s="7">
        <f>J69*C5*6</f>
        <v>5349.77206019179</v>
      </c>
      <c r="M69" s="1">
        <f>J69*C5*9</f>
        <v>8024.658090287685</v>
      </c>
      <c r="N69" s="1">
        <f>J69*C5*12</f>
        <v>10699.54412038358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3637.848198587974</v>
      </c>
      <c r="J70" s="30">
        <f>I70/C5/12</f>
        <v>0.05559745455410714</v>
      </c>
      <c r="K70" s="42">
        <f>J70*C5*3</f>
        <v>909.4620496469936</v>
      </c>
      <c r="L70" s="7">
        <f>J70*C5*6</f>
        <v>1818.9240992939872</v>
      </c>
      <c r="M70" s="1">
        <f>J70*C5*9</f>
        <v>2728.3861489409805</v>
      </c>
      <c r="N70" s="1">
        <f>J70*C5*12</f>
        <v>3637.8481985879744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3077.850149168074</v>
      </c>
      <c r="J71" s="30">
        <f>I71/C5/12</f>
        <v>0.04703897041639729</v>
      </c>
      <c r="K71" s="42">
        <f>J71*C5*3</f>
        <v>769.4625372920185</v>
      </c>
      <c r="L71" s="7">
        <f>J71*C5*6</f>
        <v>1538.925074584037</v>
      </c>
      <c r="M71" s="1">
        <f>J71*C5*9</f>
        <v>2308.3876118760554</v>
      </c>
      <c r="N71" s="1">
        <f>J71*C5*12</f>
        <v>3077.850149168074</v>
      </c>
    </row>
    <row r="72" spans="2:14" ht="12.75">
      <c r="B72" s="1"/>
      <c r="C72" s="3"/>
      <c r="D72" s="1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18975.25829959113</v>
      </c>
      <c r="J72" s="30">
        <f>I72/C5/12</f>
        <v>0.29000002291834215</v>
      </c>
      <c r="K72" s="42">
        <f>J72*C5*3</f>
        <v>4743.814574897782</v>
      </c>
      <c r="L72" s="7">
        <f>J72*C5*6</f>
        <v>9487.629149795564</v>
      </c>
      <c r="M72" s="1">
        <f>J72*C5*9</f>
        <v>14231.443724693347</v>
      </c>
      <c r="N72" s="1">
        <f>J72*C5*12</f>
        <v>18975.25829959113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36390.50076773076</v>
      </c>
      <c r="J74" s="31">
        <f t="shared" si="5"/>
        <v>0.5561582293127079</v>
      </c>
      <c r="K74" s="43">
        <f t="shared" si="5"/>
        <v>9097.62519193269</v>
      </c>
      <c r="L74" s="6">
        <f t="shared" si="5"/>
        <v>18195.25038386538</v>
      </c>
      <c r="M74" s="2">
        <f t="shared" si="5"/>
        <v>27292.87557579807</v>
      </c>
      <c r="N74" s="2">
        <f t="shared" si="5"/>
        <v>36390.50076773076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602173.8177528732</v>
      </c>
      <c r="J80" s="31">
        <f>J33+J42+J43+J50+J59+J67+J74</f>
        <v>9.203058961938961</v>
      </c>
      <c r="K80" s="43">
        <f>J80*C5*3</f>
        <v>150543.45443821826</v>
      </c>
      <c r="L80" s="6">
        <f>L33+L42+L43+L50+L59+L67+L74</f>
        <v>301086.9088764366</v>
      </c>
      <c r="M80" s="2">
        <f>M33+M42+M43+M50+M59+M67+M74</f>
        <v>451630.3633146549</v>
      </c>
      <c r="N80" s="2">
        <f>N33+N42+N43+N50+N59+N67+N74</f>
        <v>602173.8177528732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63039.19257685957</v>
      </c>
      <c r="J81" s="30">
        <f>I81/C5/12</f>
        <v>0.9634318017392669</v>
      </c>
      <c r="K81" s="42">
        <f>J81*C5*3</f>
        <v>15759.798144214894</v>
      </c>
      <c r="L81" s="7">
        <f>J81*C5*6</f>
        <v>31519.596288429788</v>
      </c>
      <c r="M81" s="1">
        <f>J81*C5*9</f>
        <v>47279.39443264468</v>
      </c>
      <c r="N81" s="1">
        <f>J81*C5*12</f>
        <v>63039.192576859576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168771.8501446189</v>
      </c>
      <c r="J82" s="30">
        <f>I82/C5/12</f>
        <v>2.579350417114749</v>
      </c>
      <c r="K82" s="42">
        <f>J82*C5*3</f>
        <v>42192.96253615472</v>
      </c>
      <c r="L82" s="7">
        <f>J82*C5*6</f>
        <v>84385.92507230944</v>
      </c>
      <c r="M82" s="1">
        <f>J82*C5*9</f>
        <v>126578.88760846417</v>
      </c>
      <c r="N82" s="1">
        <f>J82*C5*12</f>
        <v>168771.8501446189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833984.8604743517</v>
      </c>
      <c r="J83" s="31">
        <f>J80+J81+J82</f>
        <v>12.745841180792977</v>
      </c>
      <c r="K83" s="43">
        <f>J83*C5*3</f>
        <v>208496.2151185879</v>
      </c>
      <c r="L83" s="6">
        <f>SUM(L80:L82)</f>
        <v>416992.43023717584</v>
      </c>
      <c r="M83" s="2">
        <f>SUM(M80:M82)</f>
        <v>625488.6453557638</v>
      </c>
      <c r="N83" s="2">
        <f>SUM(N80:N82)</f>
        <v>833984.8604743517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41699.24223841244</v>
      </c>
      <c r="J84" s="30">
        <f>I84/C5/12</f>
        <v>0.6372920470377827</v>
      </c>
      <c r="K84" s="42">
        <f>J84*C5*3</f>
        <v>10424.81055960311</v>
      </c>
      <c r="L84" s="7">
        <f>J84*C5*6</f>
        <v>20849.62111920622</v>
      </c>
      <c r="M84" s="1"/>
      <c r="N84" s="1"/>
    </row>
    <row r="85" spans="2:14" ht="12.7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875684.1027127642</v>
      </c>
      <c r="J85" s="31">
        <f>J83+J84</f>
        <v>13.38313322783076</v>
      </c>
      <c r="K85" s="43">
        <f>J85*C5*3</f>
        <v>218921.025678191</v>
      </c>
      <c r="L85" s="6">
        <f>SUM(L83:L84)</f>
        <v>437842.0513563821</v>
      </c>
      <c r="M85" s="2">
        <f>M83+M84</f>
        <v>625488.6453557638</v>
      </c>
      <c r="N85" s="2">
        <f>N83+N84</f>
        <v>833984.8604743517</v>
      </c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>
        <v>18369.84</v>
      </c>
      <c r="M86" s="2">
        <v>18369.84</v>
      </c>
      <c r="N86" s="2">
        <v>18369.84</v>
      </c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15.42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N101"/>
  <sheetViews>
    <sheetView workbookViewId="0" topLeftCell="A4">
      <pane xSplit="1" ySplit="15" topLeftCell="B19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R57" sqref="R57"/>
    </sheetView>
  </sheetViews>
  <sheetFormatPr defaultColWidth="9.140625" defaultRowHeight="12.75"/>
  <cols>
    <col min="3" max="3" width="38.7109375" style="0" customWidth="1"/>
    <col min="4" max="4" width="12.140625" style="0" hidden="1" customWidth="1"/>
    <col min="5" max="6" width="16.7109375" style="0" hidden="1" customWidth="1"/>
    <col min="7" max="7" width="15.57421875" style="0" hidden="1" customWidth="1"/>
    <col min="8" max="8" width="13.421875" style="0" hidden="1" customWidth="1"/>
    <col min="9" max="9" width="11.57421875" style="0" hidden="1" customWidth="1"/>
    <col min="10" max="10" width="11.140625" style="0" hidden="1" customWidth="1"/>
    <col min="11" max="11" width="13.00390625" style="0" hidden="1" customWidth="1"/>
    <col min="12" max="12" width="12.140625" style="0" customWidth="1"/>
    <col min="13" max="13" width="11.140625" style="0" customWidth="1"/>
    <col min="14" max="14" width="11.8515625" style="0" customWidth="1"/>
    <col min="15" max="15" width="12.140625" style="0" customWidth="1"/>
    <col min="16" max="16" width="12.57421875" style="0" customWidth="1"/>
    <col min="17" max="17" width="10.421875" style="0" customWidth="1"/>
    <col min="18" max="18" width="14.00390625" style="0" customWidth="1"/>
  </cols>
  <sheetData>
    <row r="4" spans="2:3" ht="12.75">
      <c r="B4" s="5" t="s">
        <v>487</v>
      </c>
      <c r="C4" s="5" t="s">
        <v>511</v>
      </c>
    </row>
    <row r="5" spans="2:3" ht="12.75">
      <c r="B5" t="s">
        <v>488</v>
      </c>
      <c r="C5">
        <v>3098.6</v>
      </c>
    </row>
    <row r="6" spans="2:3" ht="12.75">
      <c r="B6" t="s">
        <v>489</v>
      </c>
      <c r="C6">
        <v>2021</v>
      </c>
    </row>
    <row r="7" spans="2:3" ht="12.75">
      <c r="B7" t="s">
        <v>490</v>
      </c>
      <c r="C7">
        <v>1261</v>
      </c>
    </row>
    <row r="8" spans="2:3" ht="12.75">
      <c r="B8" t="s">
        <v>491</v>
      </c>
      <c r="C8">
        <v>355</v>
      </c>
    </row>
    <row r="9" spans="2:3" ht="12.75">
      <c r="B9" t="s">
        <v>492</v>
      </c>
      <c r="C9">
        <v>4</v>
      </c>
    </row>
    <row r="10" spans="2:3" ht="12.75">
      <c r="B10" t="s">
        <v>493</v>
      </c>
      <c r="C10">
        <v>57</v>
      </c>
    </row>
    <row r="11" spans="2:3" ht="12.75">
      <c r="B11" t="s">
        <v>494</v>
      </c>
      <c r="C11">
        <v>5</v>
      </c>
    </row>
    <row r="14" spans="2:14" ht="12.75">
      <c r="B14" s="74" t="s">
        <v>40</v>
      </c>
      <c r="C14" s="74" t="s">
        <v>22</v>
      </c>
      <c r="D14" s="74" t="s">
        <v>41</v>
      </c>
      <c r="E14" s="74" t="s">
        <v>42</v>
      </c>
      <c r="F14" s="74" t="s">
        <v>43</v>
      </c>
      <c r="G14" s="74" t="s">
        <v>44</v>
      </c>
      <c r="H14" s="74"/>
      <c r="I14" s="79" t="s">
        <v>123</v>
      </c>
      <c r="J14" s="79"/>
      <c r="K14" s="74" t="s">
        <v>131</v>
      </c>
      <c r="L14" s="74"/>
      <c r="M14" s="74"/>
      <c r="N14" s="74"/>
    </row>
    <row r="15" spans="2:14" ht="12.75">
      <c r="B15" s="74"/>
      <c r="C15" s="74"/>
      <c r="D15" s="74"/>
      <c r="E15" s="74"/>
      <c r="F15" s="74"/>
      <c r="G15" s="74" t="s">
        <v>122</v>
      </c>
      <c r="H15" s="74" t="s">
        <v>45</v>
      </c>
      <c r="I15" s="74" t="s">
        <v>124</v>
      </c>
      <c r="J15" s="74" t="s">
        <v>125</v>
      </c>
      <c r="K15" s="74" t="s">
        <v>132</v>
      </c>
      <c r="L15" s="81" t="s">
        <v>172</v>
      </c>
      <c r="M15" s="81" t="s">
        <v>222</v>
      </c>
      <c r="N15" s="81" t="s">
        <v>305</v>
      </c>
    </row>
    <row r="16" spans="2:14" ht="12.7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81"/>
      <c r="M16" s="81"/>
      <c r="N16" s="81"/>
    </row>
    <row r="17" spans="2:14" ht="12.7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1"/>
      <c r="M17" s="81"/>
      <c r="N17" s="81"/>
    </row>
    <row r="18" spans="2:14" ht="12.7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81"/>
      <c r="M18" s="81"/>
      <c r="N18" s="8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4" t="s">
        <v>46</v>
      </c>
      <c r="D22" s="2"/>
      <c r="E22" s="2">
        <v>141634.46</v>
      </c>
      <c r="F22" s="2"/>
      <c r="G22" s="2">
        <v>98901.86</v>
      </c>
      <c r="H22" s="2">
        <v>42732.6</v>
      </c>
      <c r="I22" s="1"/>
      <c r="J22" s="1"/>
      <c r="K22" s="1"/>
      <c r="L22" s="1"/>
      <c r="M22" s="1"/>
      <c r="N22" s="1"/>
    </row>
    <row r="23" spans="2:14" ht="12.75">
      <c r="B23" s="1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 t="s">
        <v>47</v>
      </c>
      <c r="C24" s="4" t="s">
        <v>23</v>
      </c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</row>
    <row r="25" spans="2:14" ht="25.5">
      <c r="B25" s="1" t="s">
        <v>48</v>
      </c>
      <c r="C25" s="4" t="s">
        <v>24</v>
      </c>
      <c r="D25" s="2"/>
      <c r="E25" s="2">
        <v>17784</v>
      </c>
      <c r="F25" s="2"/>
      <c r="G25" s="2">
        <v>10809.7</v>
      </c>
      <c r="H25" s="2">
        <v>6974.3</v>
      </c>
      <c r="I25" s="1"/>
      <c r="J25" s="1"/>
      <c r="K25" s="1"/>
      <c r="L25" s="1"/>
      <c r="M25" s="1"/>
      <c r="N25" s="1"/>
    </row>
    <row r="26" spans="2:14" ht="25.5">
      <c r="B26" s="1" t="s">
        <v>49</v>
      </c>
      <c r="C26" s="3" t="s">
        <v>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25.5">
      <c r="B27" s="1" t="s">
        <v>50</v>
      </c>
      <c r="C27" s="3" t="s">
        <v>26</v>
      </c>
      <c r="D27" s="1" t="s">
        <v>51</v>
      </c>
      <c r="E27" s="1"/>
      <c r="F27" s="1">
        <v>2343012.48</v>
      </c>
      <c r="G27" s="1">
        <v>1045514.2</v>
      </c>
      <c r="H27" s="1">
        <v>1297498.3</v>
      </c>
      <c r="I27" s="1">
        <f>G27/G25*C8</f>
        <v>34335.600525453985</v>
      </c>
      <c r="J27" s="30">
        <f>I27/C5/12</f>
        <v>0.9234170411759609</v>
      </c>
      <c r="K27" s="42">
        <f>J27*C5*3</f>
        <v>8583.900131363496</v>
      </c>
      <c r="L27" s="7">
        <f>J27*C5*6</f>
        <v>17167.800262726993</v>
      </c>
      <c r="M27" s="1">
        <f>J27*C5*9</f>
        <v>25751.70039409049</v>
      </c>
      <c r="N27" s="1">
        <f>J27*C5*12</f>
        <v>34335.600525453985</v>
      </c>
    </row>
    <row r="28" spans="2:14" ht="25.5">
      <c r="B28" s="1" t="s">
        <v>52</v>
      </c>
      <c r="C28" s="3" t="s">
        <v>27</v>
      </c>
      <c r="D28" s="1" t="s">
        <v>53</v>
      </c>
      <c r="E28" s="1"/>
      <c r="F28" s="1">
        <v>796624.2</v>
      </c>
      <c r="G28" s="1">
        <v>355474.8</v>
      </c>
      <c r="H28" s="1">
        <v>441149.4</v>
      </c>
      <c r="I28" s="1">
        <f>G28/G25*C8</f>
        <v>11674.103259109872</v>
      </c>
      <c r="J28" s="30">
        <f>I28/C5/12</f>
        <v>0.3139617692697205</v>
      </c>
      <c r="K28" s="42">
        <f>J28*C5*3</f>
        <v>2918.525814777468</v>
      </c>
      <c r="L28" s="7">
        <f>J28*C5*6</f>
        <v>5837.051629554936</v>
      </c>
      <c r="M28" s="1">
        <f>J28*C5*9</f>
        <v>8755.577444332404</v>
      </c>
      <c r="N28" s="1">
        <f>J28*C5*12</f>
        <v>11674.103259109872</v>
      </c>
    </row>
    <row r="29" spans="2:14" ht="12.75">
      <c r="B29" s="1" t="s">
        <v>54</v>
      </c>
      <c r="C29" s="3"/>
      <c r="D29" s="1" t="s">
        <v>536</v>
      </c>
      <c r="E29" s="1"/>
      <c r="F29" s="1">
        <v>116909.87</v>
      </c>
      <c r="G29" s="1">
        <v>71061.7</v>
      </c>
      <c r="H29" s="1">
        <v>45848.2</v>
      </c>
      <c r="I29" s="30">
        <f>G29/G25*C8</f>
        <v>2333.7283643394358</v>
      </c>
      <c r="J29" s="30">
        <f>I29/C5/12</f>
        <v>0.06276297802070387</v>
      </c>
      <c r="K29" s="42">
        <f>J29*C5*3</f>
        <v>583.4320910848589</v>
      </c>
      <c r="L29" s="7">
        <f>J29*C5*6</f>
        <v>1166.8641821697179</v>
      </c>
      <c r="M29" s="1">
        <f>J29*C5*9</f>
        <v>1750.296273254577</v>
      </c>
      <c r="N29" s="1">
        <f>J29*C5*12</f>
        <v>2333.7283643394358</v>
      </c>
    </row>
    <row r="30" spans="2:14" ht="12.75">
      <c r="B30" s="1" t="s">
        <v>55</v>
      </c>
      <c r="C30" s="3"/>
      <c r="D30" s="1"/>
      <c r="E30" s="1">
        <v>15</v>
      </c>
      <c r="F30" s="1"/>
      <c r="G30" s="1"/>
      <c r="H30" s="1"/>
      <c r="I30" s="1"/>
      <c r="J30" s="1"/>
      <c r="K30" s="1"/>
      <c r="L30" s="7"/>
      <c r="M30" s="1"/>
      <c r="N30" s="1"/>
    </row>
    <row r="31" spans="2:14" ht="38.25">
      <c r="B31" s="1" t="s">
        <v>56</v>
      </c>
      <c r="C31" s="3"/>
      <c r="D31" s="3" t="s">
        <v>58</v>
      </c>
      <c r="E31" s="1"/>
      <c r="F31" s="1">
        <v>674</v>
      </c>
      <c r="G31" s="1"/>
      <c r="H31" s="1">
        <v>674</v>
      </c>
      <c r="I31" s="1"/>
      <c r="J31" s="1"/>
      <c r="K31" s="1"/>
      <c r="L31" s="7"/>
      <c r="M31" s="1"/>
      <c r="N31" s="1"/>
    </row>
    <row r="32" spans="2:14" ht="12.75">
      <c r="B32" s="1" t="s">
        <v>59</v>
      </c>
      <c r="C32" s="3"/>
      <c r="D32" s="1"/>
      <c r="E32" s="1"/>
      <c r="F32" s="1"/>
      <c r="G32" s="1"/>
      <c r="H32" s="1"/>
      <c r="I32" s="1"/>
      <c r="J32" s="1"/>
      <c r="K32" s="1"/>
      <c r="L32" s="7"/>
      <c r="M32" s="1"/>
      <c r="N32" s="1"/>
    </row>
    <row r="33" spans="2:14" ht="12.75">
      <c r="B33" s="1"/>
      <c r="C33" s="4" t="s">
        <v>60</v>
      </c>
      <c r="D33" s="2"/>
      <c r="E33" s="2"/>
      <c r="F33" s="2">
        <v>3257220.6</v>
      </c>
      <c r="G33" s="2">
        <v>1472050.7</v>
      </c>
      <c r="H33" s="2">
        <v>1785169.9</v>
      </c>
      <c r="I33" s="2">
        <f aca="true" t="shared" si="0" ref="I33:N33">SUM(I27:I32)</f>
        <v>48343.43214890329</v>
      </c>
      <c r="J33" s="31">
        <f t="shared" si="0"/>
        <v>1.3001417884663853</v>
      </c>
      <c r="K33" s="43">
        <f t="shared" si="0"/>
        <v>12085.858037225822</v>
      </c>
      <c r="L33" s="6">
        <f t="shared" si="0"/>
        <v>24171.716074451644</v>
      </c>
      <c r="M33" s="2">
        <f t="shared" si="0"/>
        <v>36257.57411167747</v>
      </c>
      <c r="N33" s="2">
        <f t="shared" si="0"/>
        <v>48343.43214890329</v>
      </c>
    </row>
    <row r="34" spans="2:14" ht="38.25">
      <c r="B34" s="1" t="s">
        <v>61</v>
      </c>
      <c r="C34" s="4" t="s">
        <v>31</v>
      </c>
      <c r="D34" s="2"/>
      <c r="E34" s="2">
        <v>111234.9</v>
      </c>
      <c r="F34" s="2"/>
      <c r="G34" s="2">
        <v>78376.2</v>
      </c>
      <c r="H34" s="2">
        <v>32858.7</v>
      </c>
      <c r="I34" s="1"/>
      <c r="J34" s="1"/>
      <c r="K34" s="1"/>
      <c r="L34" s="7"/>
      <c r="M34" s="1"/>
      <c r="N34" s="1"/>
    </row>
    <row r="35" spans="2:14" ht="12.75">
      <c r="B35" s="1" t="s">
        <v>62</v>
      </c>
      <c r="C35" s="3" t="s">
        <v>32</v>
      </c>
      <c r="D35" s="1" t="s">
        <v>51</v>
      </c>
      <c r="E35" s="1"/>
      <c r="F35" s="1">
        <v>815719.552</v>
      </c>
      <c r="G35" s="1">
        <v>574756.7</v>
      </c>
      <c r="H35" s="1">
        <v>240962.9</v>
      </c>
      <c r="I35" s="1">
        <f>G35/G34*(C6+C7)</f>
        <v>24067.91206259043</v>
      </c>
      <c r="J35" s="30">
        <f>I35/C5/12</f>
        <v>0.6472792030430525</v>
      </c>
      <c r="K35" s="42">
        <f>J35*C5*3</f>
        <v>6016.978015647607</v>
      </c>
      <c r="L35" s="7">
        <f>J35*C5*6</f>
        <v>12033.956031295214</v>
      </c>
      <c r="M35" s="1">
        <f>J35*C5*9</f>
        <v>18050.93404694282</v>
      </c>
      <c r="N35" s="1">
        <f>J35*C5*12</f>
        <v>24067.91206259043</v>
      </c>
    </row>
    <row r="36" spans="2:14" ht="12.75">
      <c r="B36" s="1" t="s">
        <v>63</v>
      </c>
      <c r="C36" s="3" t="s">
        <v>312</v>
      </c>
      <c r="D36" s="1" t="s">
        <v>53</v>
      </c>
      <c r="E36" s="1"/>
      <c r="F36" s="1">
        <v>277344.6</v>
      </c>
      <c r="G36" s="1">
        <v>195417.3</v>
      </c>
      <c r="H36" s="1">
        <v>81927.4</v>
      </c>
      <c r="I36" s="1">
        <f>G36/G34*(C6+C7)</f>
        <v>8183.0910225297985</v>
      </c>
      <c r="J36" s="30">
        <f>I36/C5/12</f>
        <v>0.22007495381058648</v>
      </c>
      <c r="K36" s="42">
        <f>J36*C5*3</f>
        <v>2045.7727556324498</v>
      </c>
      <c r="L36" s="7">
        <f>J36*C5*6</f>
        <v>4091.5455112648997</v>
      </c>
      <c r="M36" s="1">
        <f>J36*C5*9</f>
        <v>6137.3182668973495</v>
      </c>
      <c r="N36" s="1">
        <f>J36*C5*12</f>
        <v>8183.091022529799</v>
      </c>
    </row>
    <row r="37" spans="2:14" ht="12.75">
      <c r="B37" s="1" t="s">
        <v>65</v>
      </c>
      <c r="C37" s="3" t="s">
        <v>66</v>
      </c>
      <c r="D37" s="1" t="s">
        <v>536</v>
      </c>
      <c r="E37" s="1"/>
      <c r="F37" s="1">
        <v>115582.34</v>
      </c>
      <c r="G37" s="1">
        <v>81439.4</v>
      </c>
      <c r="H37" s="1">
        <v>34142.9</v>
      </c>
      <c r="I37" s="1">
        <f>G37/G34*(C6+C7)</f>
        <v>3410.2713680938855</v>
      </c>
      <c r="J37" s="30">
        <f>I37/C5/12</f>
        <v>0.09171538135754549</v>
      </c>
      <c r="K37" s="42">
        <f>J37*C5*3</f>
        <v>852.5678420234715</v>
      </c>
      <c r="L37" s="7">
        <f>J37*C5*6</f>
        <v>1705.135684046943</v>
      </c>
      <c r="M37" s="1">
        <f>J37*C5*9</f>
        <v>2557.7035260704142</v>
      </c>
      <c r="N37" s="1">
        <f>J37*C5*12</f>
        <v>3410.271368093886</v>
      </c>
    </row>
    <row r="38" spans="2:14" ht="25.5">
      <c r="B38" s="1" t="s">
        <v>67</v>
      </c>
      <c r="C38" s="3" t="s">
        <v>34</v>
      </c>
      <c r="D38" s="1" t="s">
        <v>68</v>
      </c>
      <c r="E38" s="1"/>
      <c r="F38" s="1">
        <v>55220.9</v>
      </c>
      <c r="G38" s="1">
        <v>38908.7</v>
      </c>
      <c r="H38" s="1">
        <v>16312.2</v>
      </c>
      <c r="I38" s="1">
        <f>G38/G34*(C6+C7)</f>
        <v>1629.3001370313946</v>
      </c>
      <c r="J38" s="30">
        <f>I38/C5/12</f>
        <v>0.0438181796357332</v>
      </c>
      <c r="K38" s="42">
        <f>J38*C5*3</f>
        <v>407.32503425784864</v>
      </c>
      <c r="L38" s="7">
        <f>J38*C5*6</f>
        <v>814.6500685156973</v>
      </c>
      <c r="M38" s="1">
        <f>J38*C5*9</f>
        <v>1221.975102773546</v>
      </c>
      <c r="N38" s="1">
        <f>J38*C5*12</f>
        <v>1629.3001370313946</v>
      </c>
    </row>
    <row r="39" spans="2:14" ht="25.5">
      <c r="B39" s="1" t="s">
        <v>69</v>
      </c>
      <c r="C39" s="3" t="s">
        <v>35</v>
      </c>
      <c r="D39" s="1"/>
      <c r="E39" s="1"/>
      <c r="F39" s="1"/>
      <c r="G39" s="1"/>
      <c r="H39" s="1"/>
      <c r="I39" s="1"/>
      <c r="J39" s="1"/>
      <c r="K39" s="42"/>
      <c r="L39" s="7"/>
      <c r="M39" s="1"/>
      <c r="N39" s="1"/>
    </row>
    <row r="40" spans="2:14" ht="12.75">
      <c r="B40" s="1" t="s">
        <v>70</v>
      </c>
      <c r="C40" s="3" t="s">
        <v>36</v>
      </c>
      <c r="D40" s="1" t="s">
        <v>71</v>
      </c>
      <c r="E40" s="1"/>
      <c r="F40" s="1"/>
      <c r="G40" s="1"/>
      <c r="H40" s="1"/>
      <c r="I40" s="1"/>
      <c r="J40" s="1"/>
      <c r="K40" s="42"/>
      <c r="L40" s="7"/>
      <c r="M40" s="1"/>
      <c r="N40" s="1"/>
    </row>
    <row r="41" spans="2:14" ht="12.75">
      <c r="B41" s="1" t="s">
        <v>72</v>
      </c>
      <c r="C41" s="3" t="s">
        <v>73</v>
      </c>
      <c r="D41" s="1"/>
      <c r="E41" s="1"/>
      <c r="F41" s="1">
        <v>30500</v>
      </c>
      <c r="G41" s="1">
        <v>21297.8</v>
      </c>
      <c r="H41" s="1">
        <v>9202.2</v>
      </c>
      <c r="I41" s="1">
        <f>G41/G22*C5</f>
        <v>667.2610917529761</v>
      </c>
      <c r="J41" s="30">
        <f>I41/C5/12</f>
        <v>0.017945230420000863</v>
      </c>
      <c r="K41" s="42">
        <f>J41*C5*3</f>
        <v>166.81527293824402</v>
      </c>
      <c r="L41" s="7">
        <f>J41*C5*6</f>
        <v>333.63054587648804</v>
      </c>
      <c r="M41" s="1">
        <f>J41*C5*9</f>
        <v>500.4458188147321</v>
      </c>
      <c r="N41" s="1">
        <f>J41*C5*12</f>
        <v>667.2610917529761</v>
      </c>
    </row>
    <row r="42" spans="2:14" ht="12.75">
      <c r="B42" s="1"/>
      <c r="C42" s="4" t="s">
        <v>60</v>
      </c>
      <c r="D42" s="2"/>
      <c r="E42" s="2"/>
      <c r="F42" s="2">
        <v>1294367.4</v>
      </c>
      <c r="G42" s="2">
        <v>911819.85</v>
      </c>
      <c r="H42" s="2">
        <v>382547.6</v>
      </c>
      <c r="I42" s="2">
        <f aca="true" t="shared" si="1" ref="I42:N42">SUM(I35:I41)</f>
        <v>37957.835681998484</v>
      </c>
      <c r="J42" s="31">
        <f t="shared" si="1"/>
        <v>1.0208329482669187</v>
      </c>
      <c r="K42" s="43">
        <f t="shared" si="1"/>
        <v>9489.458920499621</v>
      </c>
      <c r="L42" s="6">
        <f t="shared" si="1"/>
        <v>18978.917840999242</v>
      </c>
      <c r="M42" s="2">
        <f t="shared" si="1"/>
        <v>28468.376761498865</v>
      </c>
      <c r="N42" s="2">
        <f t="shared" si="1"/>
        <v>37957.835681998484</v>
      </c>
    </row>
    <row r="43" spans="2:14" ht="12.75">
      <c r="B43" s="1" t="s">
        <v>74</v>
      </c>
      <c r="C43" s="4" t="s">
        <v>37</v>
      </c>
      <c r="D43" s="2"/>
      <c r="E43" s="2"/>
      <c r="F43" s="2">
        <v>5004925.7</v>
      </c>
      <c r="G43" s="2">
        <v>3548598.7</v>
      </c>
      <c r="H43" s="2">
        <v>1456327</v>
      </c>
      <c r="I43" s="2">
        <f>G43/G22*C5</f>
        <v>111177.76684705424</v>
      </c>
      <c r="J43" s="31">
        <f>I43/C5/12</f>
        <v>2.9899999689928314</v>
      </c>
      <c r="K43" s="43">
        <f>J43*C5*3</f>
        <v>27794.44171176356</v>
      </c>
      <c r="L43" s="6">
        <f>J43*C5*6</f>
        <v>55588.88342352712</v>
      </c>
      <c r="M43" s="2">
        <f>J43*C5*9</f>
        <v>83383.32513529068</v>
      </c>
      <c r="N43" s="50">
        <f>J43*C5*12</f>
        <v>111177.76684705424</v>
      </c>
    </row>
    <row r="44" spans="2:14" ht="25.5">
      <c r="B44" s="1" t="s">
        <v>75</v>
      </c>
      <c r="C44" s="4" t="s">
        <v>38</v>
      </c>
      <c r="D44" s="2"/>
      <c r="E44" s="2">
        <v>141634.46</v>
      </c>
      <c r="F44" s="2"/>
      <c r="G44" s="2">
        <v>98901.86</v>
      </c>
      <c r="H44" s="2">
        <v>42732.6</v>
      </c>
      <c r="I44" s="2"/>
      <c r="J44" s="2"/>
      <c r="K44" s="1"/>
      <c r="L44" s="7"/>
      <c r="M44" s="1"/>
      <c r="N44" s="1"/>
    </row>
    <row r="45" spans="2:14" ht="51">
      <c r="B45" s="1" t="s">
        <v>76</v>
      </c>
      <c r="C45" s="3" t="s">
        <v>77</v>
      </c>
      <c r="D45" s="1" t="s">
        <v>51</v>
      </c>
      <c r="E45" s="1"/>
      <c r="F45" s="1">
        <v>558138</v>
      </c>
      <c r="G45" s="1">
        <v>389741.9</v>
      </c>
      <c r="H45" s="1">
        <v>168396.1</v>
      </c>
      <c r="I45" s="1">
        <f>G45/G44*C5</f>
        <v>12210.632351504815</v>
      </c>
      <c r="J45" s="30">
        <f>I45/C5/12</f>
        <v>0.3283911108109258</v>
      </c>
      <c r="K45" s="42">
        <f>J45*C5*3</f>
        <v>3052.6580878762043</v>
      </c>
      <c r="L45" s="7">
        <f>J45*C5*6</f>
        <v>6105.3161757524085</v>
      </c>
      <c r="M45" s="1">
        <f>J45*C5*9</f>
        <v>9157.974263628612</v>
      </c>
      <c r="N45" s="1">
        <f>J45*C5*12</f>
        <v>12210.632351504817</v>
      </c>
    </row>
    <row r="46" spans="2:14" ht="63.75">
      <c r="B46" s="1" t="s">
        <v>78</v>
      </c>
      <c r="C46" s="3" t="s">
        <v>165</v>
      </c>
      <c r="D46" s="1" t="s">
        <v>53</v>
      </c>
      <c r="E46" s="1"/>
      <c r="F46" s="1">
        <v>189767</v>
      </c>
      <c r="G46" s="1">
        <v>132512</v>
      </c>
      <c r="H46" s="1">
        <v>57255</v>
      </c>
      <c r="I46" s="1">
        <f>G46/G44*C5</f>
        <v>4151.607292319882</v>
      </c>
      <c r="J46" s="30">
        <f>I46/C5/12</f>
        <v>0.1116527703995321</v>
      </c>
      <c r="K46" s="42">
        <f>J46*C5*3</f>
        <v>1037.9018230799704</v>
      </c>
      <c r="L46" s="7">
        <f>J46*C5*6</f>
        <v>2075.803646159941</v>
      </c>
      <c r="M46" s="1">
        <f>J46*C5*9</f>
        <v>3113.7054692399115</v>
      </c>
      <c r="N46" s="1">
        <f>J46*C5*12</f>
        <v>4151.607292319882</v>
      </c>
    </row>
    <row r="47" spans="2:14" ht="89.25">
      <c r="B47" s="1" t="s">
        <v>80</v>
      </c>
      <c r="C47" s="29" t="s">
        <v>129</v>
      </c>
      <c r="D47" s="1" t="s">
        <v>536</v>
      </c>
      <c r="E47" s="1"/>
      <c r="F47" s="1">
        <v>111512.16</v>
      </c>
      <c r="G47" s="1">
        <v>77867.8</v>
      </c>
      <c r="H47" s="1">
        <v>33644.4</v>
      </c>
      <c r="I47" s="1">
        <f>G47/G44*C5</f>
        <v>2439.6018950503053</v>
      </c>
      <c r="J47" s="30">
        <f>I47/C5/12</f>
        <v>0.06561032657356831</v>
      </c>
      <c r="K47" s="42">
        <f>J47*C5*3</f>
        <v>609.9004737625763</v>
      </c>
      <c r="L47" s="7">
        <f>J47*C5*6</f>
        <v>1219.8009475251527</v>
      </c>
      <c r="M47" s="1">
        <f>J47*C5*9</f>
        <v>1829.7014212877289</v>
      </c>
      <c r="N47" s="1">
        <f>J47*C5*12</f>
        <v>2439.6018950503053</v>
      </c>
    </row>
    <row r="48" spans="2:14" ht="12.75">
      <c r="B48" s="1"/>
      <c r="C48" s="4" t="s">
        <v>260</v>
      </c>
      <c r="D48" s="1"/>
      <c r="E48" s="1"/>
      <c r="F48" s="1"/>
      <c r="G48" s="1"/>
      <c r="H48" s="1"/>
      <c r="I48" s="1"/>
      <c r="J48" s="1"/>
      <c r="K48" s="42"/>
      <c r="L48" s="7"/>
      <c r="M48" s="1"/>
      <c r="N48" s="1"/>
    </row>
    <row r="49" spans="2:14" ht="12.75">
      <c r="B49" s="1"/>
      <c r="C49" s="3"/>
      <c r="D49" s="1" t="s">
        <v>71</v>
      </c>
      <c r="E49" s="1"/>
      <c r="F49" s="1"/>
      <c r="G49" s="1"/>
      <c r="H49" s="1"/>
      <c r="I49" s="1"/>
      <c r="J49" s="1"/>
      <c r="K49" s="42"/>
      <c r="L49" s="7"/>
      <c r="M49" s="1"/>
      <c r="N49" s="1"/>
    </row>
    <row r="50" spans="2:14" ht="12.75">
      <c r="B50" s="1"/>
      <c r="C50" s="4" t="s">
        <v>60</v>
      </c>
      <c r="D50" s="2"/>
      <c r="E50" s="2"/>
      <c r="F50" s="2">
        <v>859417.1</v>
      </c>
      <c r="G50" s="2">
        <v>600121.9</v>
      </c>
      <c r="H50" s="2">
        <v>259295.1</v>
      </c>
      <c r="I50" s="2">
        <f aca="true" t="shared" si="2" ref="I50:N50">SUM(I45:I49)</f>
        <v>18801.841538875004</v>
      </c>
      <c r="J50" s="31">
        <f t="shared" si="2"/>
        <v>0.5056542077840263</v>
      </c>
      <c r="K50" s="43">
        <f t="shared" si="2"/>
        <v>4700.460384718751</v>
      </c>
      <c r="L50" s="6">
        <f t="shared" si="2"/>
        <v>9400.920769437502</v>
      </c>
      <c r="M50" s="2">
        <f t="shared" si="2"/>
        <v>14101.381154156254</v>
      </c>
      <c r="N50" s="2">
        <f t="shared" si="2"/>
        <v>18801.841538875004</v>
      </c>
    </row>
    <row r="51" spans="2:14" ht="38.25">
      <c r="B51" s="1" t="s">
        <v>81</v>
      </c>
      <c r="C51" s="4" t="s">
        <v>39</v>
      </c>
      <c r="D51" s="2"/>
      <c r="E51" s="2">
        <v>141634.46</v>
      </c>
      <c r="F51" s="2"/>
      <c r="G51" s="2">
        <v>98901.86</v>
      </c>
      <c r="H51" s="2">
        <v>42732.6</v>
      </c>
      <c r="I51" s="1"/>
      <c r="J51" s="1"/>
      <c r="K51" s="1"/>
      <c r="L51" s="7"/>
      <c r="M51" s="1"/>
      <c r="N51" s="1"/>
    </row>
    <row r="52" spans="2:14" ht="25.5">
      <c r="B52" s="1" t="s">
        <v>82</v>
      </c>
      <c r="C52" s="3" t="s">
        <v>83</v>
      </c>
      <c r="D52" s="1" t="s">
        <v>51</v>
      </c>
      <c r="E52" s="1"/>
      <c r="F52" s="1">
        <v>667518.8</v>
      </c>
      <c r="G52" s="1">
        <v>466121.4</v>
      </c>
      <c r="H52" s="1">
        <v>201397.4</v>
      </c>
      <c r="I52" s="1">
        <f>G52/G51*C5</f>
        <v>14603.605736434078</v>
      </c>
      <c r="J52" s="30">
        <f>I52/C5/12</f>
        <v>0.3927474164793261</v>
      </c>
      <c r="K52" s="42">
        <f>J52*C5*3</f>
        <v>3650.9014341085194</v>
      </c>
      <c r="L52" s="7">
        <f>J52*C5*6</f>
        <v>7301.802868217039</v>
      </c>
      <c r="M52" s="1">
        <f>J52*C5*9</f>
        <v>10952.704302325557</v>
      </c>
      <c r="N52" s="1">
        <f>J52*C5*12</f>
        <v>14603.605736434078</v>
      </c>
    </row>
    <row r="53" spans="2:14" ht="25.5">
      <c r="B53" s="1" t="s">
        <v>84</v>
      </c>
      <c r="C53" s="3" t="s">
        <v>427</v>
      </c>
      <c r="D53" s="1" t="s">
        <v>53</v>
      </c>
      <c r="E53" s="1"/>
      <c r="F53" s="1">
        <v>226956</v>
      </c>
      <c r="G53" s="1">
        <v>158481.3</v>
      </c>
      <c r="H53" s="1">
        <v>68475.1</v>
      </c>
      <c r="I53" s="1">
        <f>G53/G51*C5</f>
        <v>4965.2267023087325</v>
      </c>
      <c r="J53" s="30">
        <f>I53/C5/12</f>
        <v>0.13353414182503745</v>
      </c>
      <c r="K53" s="42">
        <f>J53*C5*3</f>
        <v>1241.3066755771831</v>
      </c>
      <c r="L53" s="7">
        <f>J53*C5*6</f>
        <v>2482.6133511543662</v>
      </c>
      <c r="M53" s="1">
        <f>J53*C5*9</f>
        <v>3723.9200267315496</v>
      </c>
      <c r="N53" s="1">
        <f>J53*C5*12</f>
        <v>4965.2267023087325</v>
      </c>
    </row>
    <row r="54" spans="2:14" ht="51">
      <c r="B54" s="1" t="s">
        <v>86</v>
      </c>
      <c r="C54" s="4" t="s">
        <v>198</v>
      </c>
      <c r="D54" s="1" t="s">
        <v>536</v>
      </c>
      <c r="E54" s="1"/>
      <c r="F54" s="1">
        <v>446048.65</v>
      </c>
      <c r="G54" s="1">
        <v>311471.1</v>
      </c>
      <c r="H54" s="1">
        <v>134577.5</v>
      </c>
      <c r="I54" s="1">
        <f>G54/G51*C5</f>
        <v>9758.404447196443</v>
      </c>
      <c r="J54" s="30">
        <f>I54/C5/12</f>
        <v>0.2624412220356624</v>
      </c>
      <c r="K54" s="42">
        <f>J54*C5*3</f>
        <v>2439.60111179911</v>
      </c>
      <c r="L54" s="7">
        <f>J54*C5*6</f>
        <v>4879.20222359822</v>
      </c>
      <c r="M54" s="1">
        <f>J54*C5*9</f>
        <v>7318.803335397331</v>
      </c>
      <c r="N54" s="1">
        <f>J54*C5*12</f>
        <v>9758.40444719644</v>
      </c>
    </row>
    <row r="55" spans="2:14" ht="25.5">
      <c r="B55" s="1" t="s">
        <v>88</v>
      </c>
      <c r="C55" s="3" t="s">
        <v>130</v>
      </c>
      <c r="D55" s="1"/>
      <c r="E55" s="1"/>
      <c r="F55" s="1"/>
      <c r="G55" s="1"/>
      <c r="H55" s="1"/>
      <c r="I55" s="1"/>
      <c r="J55" s="1"/>
      <c r="K55" s="42"/>
      <c r="L55" s="7"/>
      <c r="M55" s="1"/>
      <c r="N55" s="1"/>
    </row>
    <row r="56" spans="2:14" ht="38.25">
      <c r="B56" s="1" t="s">
        <v>89</v>
      </c>
      <c r="C56" s="3" t="s">
        <v>90</v>
      </c>
      <c r="D56" s="1" t="s">
        <v>71</v>
      </c>
      <c r="E56" s="1"/>
      <c r="F56" s="1"/>
      <c r="G56" s="1"/>
      <c r="H56" s="1"/>
      <c r="I56" s="1"/>
      <c r="J56" s="1"/>
      <c r="K56" s="42"/>
      <c r="L56" s="7"/>
      <c r="M56" s="1"/>
      <c r="N56" s="1"/>
    </row>
    <row r="57" spans="2:14" ht="89.25">
      <c r="B57" s="1" t="s">
        <v>91</v>
      </c>
      <c r="C57" s="3" t="s">
        <v>444</v>
      </c>
      <c r="D57" s="1"/>
      <c r="E57" s="1"/>
      <c r="F57" s="1"/>
      <c r="G57" s="1"/>
      <c r="H57" s="1"/>
      <c r="I57" s="1"/>
      <c r="J57" s="1"/>
      <c r="K57" s="42"/>
      <c r="L57" s="7"/>
      <c r="M57" s="1"/>
      <c r="N57" s="1"/>
    </row>
    <row r="58" spans="2:14" ht="12.75">
      <c r="B58" s="1" t="s">
        <v>93</v>
      </c>
      <c r="C58" s="4" t="s">
        <v>175</v>
      </c>
      <c r="D58" s="1"/>
      <c r="E58" s="1"/>
      <c r="F58" s="1"/>
      <c r="G58" s="1"/>
      <c r="H58" s="1"/>
      <c r="I58" s="1"/>
      <c r="J58" s="1"/>
      <c r="K58" s="42"/>
      <c r="L58" s="7">
        <v>9004</v>
      </c>
      <c r="M58" s="1"/>
      <c r="N58" s="1"/>
    </row>
    <row r="59" spans="2:14" ht="12.75">
      <c r="B59" s="1"/>
      <c r="C59" s="4" t="s">
        <v>60</v>
      </c>
      <c r="D59" s="2"/>
      <c r="E59" s="2"/>
      <c r="F59" s="2">
        <v>1340523.8</v>
      </c>
      <c r="G59" s="2">
        <v>936073.8</v>
      </c>
      <c r="H59" s="2">
        <v>404450.1</v>
      </c>
      <c r="I59" s="2">
        <f aca="true" t="shared" si="3" ref="I59:N59">SUM(I52:I58)</f>
        <v>29327.23688593925</v>
      </c>
      <c r="J59" s="31">
        <f t="shared" si="3"/>
        <v>0.7887227803400259</v>
      </c>
      <c r="K59" s="43">
        <f t="shared" si="3"/>
        <v>7331.809221484813</v>
      </c>
      <c r="L59" s="6">
        <f t="shared" si="3"/>
        <v>23667.618442969626</v>
      </c>
      <c r="M59" s="2">
        <f t="shared" si="3"/>
        <v>21995.427664454437</v>
      </c>
      <c r="N59" s="2">
        <f t="shared" si="3"/>
        <v>29327.23688593925</v>
      </c>
    </row>
    <row r="60" spans="2:14" ht="38.25">
      <c r="B60" s="1" t="s">
        <v>95</v>
      </c>
      <c r="C60" s="4" t="s">
        <v>481</v>
      </c>
      <c r="D60" s="2"/>
      <c r="E60" s="2">
        <v>141634.46</v>
      </c>
      <c r="F60" s="2"/>
      <c r="G60" s="2">
        <v>98901.86</v>
      </c>
      <c r="H60" s="2">
        <v>42732.6</v>
      </c>
      <c r="I60" s="1"/>
      <c r="J60" s="1"/>
      <c r="K60" s="1"/>
      <c r="L60" s="7"/>
      <c r="M60" s="1"/>
      <c r="N60" s="1"/>
    </row>
    <row r="61" spans="2:14" ht="51">
      <c r="B61" s="1" t="s">
        <v>96</v>
      </c>
      <c r="C61" s="3" t="s">
        <v>299</v>
      </c>
      <c r="D61" s="1" t="s">
        <v>51</v>
      </c>
      <c r="E61" s="1"/>
      <c r="F61" s="1">
        <v>3033160.58</v>
      </c>
      <c r="G61" s="1">
        <v>2118024.3</v>
      </c>
      <c r="H61" s="1">
        <v>915136.3</v>
      </c>
      <c r="I61" s="1">
        <f>G61/G60*C5</f>
        <v>66357.80253253072</v>
      </c>
      <c r="J61" s="30">
        <f>I61/C5/12</f>
        <v>1.7846178524852816</v>
      </c>
      <c r="K61" s="42">
        <f>J61*C5*3</f>
        <v>16589.450633132677</v>
      </c>
      <c r="L61" s="7">
        <f>J61*C5*6</f>
        <v>33178.901266265355</v>
      </c>
      <c r="M61" s="1">
        <f>J61*C5*9</f>
        <v>49768.35189939804</v>
      </c>
      <c r="N61" s="1">
        <f>J61*C5*12</f>
        <v>66357.80253253071</v>
      </c>
    </row>
    <row r="62" spans="2:14" ht="12.75">
      <c r="B62" s="1" t="s">
        <v>98</v>
      </c>
      <c r="C62" s="3" t="s">
        <v>99</v>
      </c>
      <c r="D62" s="1" t="s">
        <v>53</v>
      </c>
      <c r="E62" s="1"/>
      <c r="F62" s="1">
        <v>1031274.6</v>
      </c>
      <c r="G62" s="1">
        <v>720128.3</v>
      </c>
      <c r="H62" s="1">
        <v>311146.3</v>
      </c>
      <c r="I62" s="1">
        <f>G62/G60*C5</f>
        <v>22561.654051602265</v>
      </c>
      <c r="J62" s="30">
        <f>I62/C5/12</f>
        <v>0.606770101863268</v>
      </c>
      <c r="K62" s="42">
        <f>J62*C5*3</f>
        <v>5640.413512900566</v>
      </c>
      <c r="L62" s="7">
        <f>J62*C5*6</f>
        <v>11280.827025801133</v>
      </c>
      <c r="M62" s="1">
        <f>J62*C5*9</f>
        <v>16921.2405387017</v>
      </c>
      <c r="N62" s="1">
        <f>J62*C5*12</f>
        <v>22561.654051602265</v>
      </c>
    </row>
    <row r="63" spans="2:14" ht="12.75">
      <c r="B63" s="1" t="s">
        <v>100</v>
      </c>
      <c r="C63" s="3" t="s">
        <v>101</v>
      </c>
      <c r="D63" s="1" t="s">
        <v>536</v>
      </c>
      <c r="E63" s="1"/>
      <c r="F63" s="1">
        <v>719534.71</v>
      </c>
      <c r="G63" s="1">
        <v>502443.6</v>
      </c>
      <c r="H63" s="1">
        <v>217091.2</v>
      </c>
      <c r="I63" s="1">
        <f>G63/G60*C5</f>
        <v>15741.581998154532</v>
      </c>
      <c r="J63" s="30">
        <f>I63/C5/12</f>
        <v>0.4233519976267382</v>
      </c>
      <c r="K63" s="42">
        <f>J63*C5*3</f>
        <v>3935.395499538633</v>
      </c>
      <c r="L63" s="7">
        <f>J63*C5*6</f>
        <v>7870.790999077266</v>
      </c>
      <c r="M63" s="1">
        <f>J63*C5*9</f>
        <v>11806.186498615898</v>
      </c>
      <c r="N63" s="1">
        <f>J63*C5*12</f>
        <v>15741.581998154532</v>
      </c>
    </row>
    <row r="64" spans="2:14" ht="25.5">
      <c r="B64" s="1" t="s">
        <v>102</v>
      </c>
      <c r="C64" s="3" t="s">
        <v>158</v>
      </c>
      <c r="D64" s="1"/>
      <c r="E64" s="1"/>
      <c r="F64" s="1"/>
      <c r="G64" s="1"/>
      <c r="H64" s="1"/>
      <c r="I64" s="1"/>
      <c r="J64" s="30"/>
      <c r="K64" s="42"/>
      <c r="L64" s="7"/>
      <c r="M64" s="1"/>
      <c r="N64" s="1"/>
    </row>
    <row r="65" spans="2:14" ht="51">
      <c r="B65" s="1" t="s">
        <v>104</v>
      </c>
      <c r="C65" s="4" t="s">
        <v>408</v>
      </c>
      <c r="D65" s="1" t="s">
        <v>71</v>
      </c>
      <c r="E65" s="1"/>
      <c r="F65" s="1"/>
      <c r="G65" s="1"/>
      <c r="H65" s="1"/>
      <c r="I65" s="1"/>
      <c r="J65" s="30"/>
      <c r="K65" s="42"/>
      <c r="L65" s="7"/>
      <c r="M65" s="1"/>
      <c r="N65" s="1"/>
    </row>
    <row r="66" spans="2:14" ht="38.25">
      <c r="B66" s="1" t="s">
        <v>105</v>
      </c>
      <c r="C66" s="3" t="s">
        <v>106</v>
      </c>
      <c r="D66" s="1" t="s">
        <v>107</v>
      </c>
      <c r="E66" s="1" t="s">
        <v>108</v>
      </c>
      <c r="F66" s="1">
        <v>71968.71</v>
      </c>
      <c r="G66" s="1">
        <v>32713.05</v>
      </c>
      <c r="H66" s="1">
        <v>39255.66</v>
      </c>
      <c r="I66" s="1"/>
      <c r="J66" s="30"/>
      <c r="K66" s="42"/>
      <c r="L66" s="7"/>
      <c r="M66" s="1"/>
      <c r="N66" s="1"/>
    </row>
    <row r="67" spans="2:14" ht="12.75">
      <c r="B67" s="1"/>
      <c r="C67" s="4" t="s">
        <v>60</v>
      </c>
      <c r="D67" s="2"/>
      <c r="E67" s="2"/>
      <c r="F67" s="2">
        <v>4855938.6</v>
      </c>
      <c r="G67" s="2">
        <v>3373309.1</v>
      </c>
      <c r="H67" s="2">
        <v>1482629.5</v>
      </c>
      <c r="I67" s="2">
        <f aca="true" t="shared" si="4" ref="I67:N67">SUM(I61:I66)</f>
        <v>104661.03858228753</v>
      </c>
      <c r="J67" s="31">
        <f t="shared" si="4"/>
        <v>2.814739951975288</v>
      </c>
      <c r="K67" s="43">
        <f t="shared" si="4"/>
        <v>26165.259645571878</v>
      </c>
      <c r="L67" s="6">
        <f t="shared" si="4"/>
        <v>52330.519291143755</v>
      </c>
      <c r="M67" s="2">
        <f t="shared" si="4"/>
        <v>78495.77893671562</v>
      </c>
      <c r="N67" s="2">
        <f t="shared" si="4"/>
        <v>104661.03858228751</v>
      </c>
    </row>
    <row r="68" spans="2:14" ht="12.75">
      <c r="B68" s="1" t="s">
        <v>109</v>
      </c>
      <c r="C68" s="4" t="s">
        <v>482</v>
      </c>
      <c r="D68" s="2"/>
      <c r="E68" s="2">
        <v>141634.46</v>
      </c>
      <c r="F68" s="2"/>
      <c r="G68" s="2">
        <v>98901.86</v>
      </c>
      <c r="H68" s="2">
        <v>42732.6</v>
      </c>
      <c r="I68" s="2"/>
      <c r="J68" s="1"/>
      <c r="K68" s="1"/>
      <c r="L68" s="7"/>
      <c r="M68" s="1"/>
      <c r="N68" s="1"/>
    </row>
    <row r="69" spans="2:14" ht="51">
      <c r="B69" s="1" t="s">
        <v>110</v>
      </c>
      <c r="C69" s="3" t="s">
        <v>483</v>
      </c>
      <c r="D69" s="1" t="s">
        <v>111</v>
      </c>
      <c r="E69" s="1"/>
      <c r="F69" s="1">
        <v>277923.9</v>
      </c>
      <c r="G69" s="1">
        <v>194071.3</v>
      </c>
      <c r="H69" s="1">
        <v>83852.6</v>
      </c>
      <c r="I69" s="1">
        <f>G69/G68*C5</f>
        <v>6080.26310303972</v>
      </c>
      <c r="J69" s="30">
        <f>I69/C5/12</f>
        <v>0.1635217814238613</v>
      </c>
      <c r="K69" s="42">
        <f>J69*C5*3</f>
        <v>1520.06577575993</v>
      </c>
      <c r="L69" s="7">
        <f>J69*C5*6</f>
        <v>3040.13155151986</v>
      </c>
      <c r="M69" s="1">
        <f>J69*C5*9</f>
        <v>4560.1973272797895</v>
      </c>
      <c r="N69" s="1">
        <f>J69*C5*12</f>
        <v>6080.26310303972</v>
      </c>
    </row>
    <row r="70" spans="2:14" ht="12.75">
      <c r="B70" s="1"/>
      <c r="C70" s="3"/>
      <c r="D70" s="1" t="s">
        <v>53</v>
      </c>
      <c r="E70" s="1"/>
      <c r="F70" s="1">
        <v>94494.1</v>
      </c>
      <c r="G70" s="1">
        <v>65984.3</v>
      </c>
      <c r="H70" s="1">
        <v>28509.9</v>
      </c>
      <c r="I70" s="1">
        <f>G70/G68*C5</f>
        <v>2067.2912721762764</v>
      </c>
      <c r="J70" s="30">
        <f>I70/C5/12</f>
        <v>0.05559745455410714</v>
      </c>
      <c r="K70" s="42">
        <f>J70*C5*3</f>
        <v>516.8228180440691</v>
      </c>
      <c r="L70" s="7">
        <f>J70*C5*6</f>
        <v>1033.6456360881382</v>
      </c>
      <c r="M70" s="1">
        <f>J70*C5*9</f>
        <v>1550.4684541322072</v>
      </c>
      <c r="N70" s="1">
        <f>J70*C5*12</f>
        <v>2067.2912721762764</v>
      </c>
    </row>
    <row r="71" spans="2:14" ht="12.75">
      <c r="B71" s="1"/>
      <c r="C71" s="3"/>
      <c r="D71" s="1" t="s">
        <v>536</v>
      </c>
      <c r="E71" s="1"/>
      <c r="F71" s="1">
        <v>79948</v>
      </c>
      <c r="G71" s="1">
        <v>55826.9</v>
      </c>
      <c r="H71" s="1">
        <v>24121.1</v>
      </c>
      <c r="I71" s="1">
        <f>G71/G68*C5</f>
        <v>1749.0594447869837</v>
      </c>
      <c r="J71" s="30">
        <f>I71/C5/12</f>
        <v>0.04703897041639729</v>
      </c>
      <c r="K71" s="42">
        <f>J71*C5*3</f>
        <v>437.264861196746</v>
      </c>
      <c r="L71" s="7">
        <f>J71*C5*6</f>
        <v>874.529722393492</v>
      </c>
      <c r="M71" s="1">
        <f>J71*C5*9</f>
        <v>1311.7945835902378</v>
      </c>
      <c r="N71" s="1">
        <f>J71*C5*12</f>
        <v>1749.059444786984</v>
      </c>
    </row>
    <row r="72" spans="2:14" ht="12.75">
      <c r="B72" s="1"/>
      <c r="C72" s="3"/>
      <c r="D72" s="1" t="s">
        <v>112</v>
      </c>
      <c r="E72" s="1"/>
      <c r="F72" s="1">
        <v>882609.2</v>
      </c>
      <c r="G72" s="1">
        <v>344178.5</v>
      </c>
      <c r="H72" s="1">
        <v>538430.8</v>
      </c>
      <c r="I72" s="1">
        <f>G72/G68*C5</f>
        <v>10783.1288521773</v>
      </c>
      <c r="J72" s="30">
        <f>I72/C5/12</f>
        <v>0.2900000229183422</v>
      </c>
      <c r="K72" s="42">
        <f>J72*C5*3</f>
        <v>2695.7822130443255</v>
      </c>
      <c r="L72" s="7">
        <f>J72*C5*6</f>
        <v>5391.564426088651</v>
      </c>
      <c r="M72" s="1">
        <f>J72*C5*9</f>
        <v>8087.346639132977</v>
      </c>
      <c r="N72" s="1">
        <f>J72*C5*12</f>
        <v>10783.128852177302</v>
      </c>
    </row>
    <row r="73" spans="2:14" ht="12.75">
      <c r="B73" s="1"/>
      <c r="C73" s="3"/>
      <c r="D73" s="1"/>
      <c r="E73" s="1"/>
      <c r="F73" s="1"/>
      <c r="G73" s="1"/>
      <c r="H73" s="1"/>
      <c r="I73" s="1"/>
      <c r="J73" s="30"/>
      <c r="K73" s="42"/>
      <c r="L73" s="7"/>
      <c r="M73" s="1"/>
      <c r="N73" s="1"/>
    </row>
    <row r="74" spans="2:14" ht="12.75">
      <c r="B74" s="1"/>
      <c r="C74" s="4" t="s">
        <v>60</v>
      </c>
      <c r="D74" s="2"/>
      <c r="E74" s="2"/>
      <c r="F74" s="2">
        <v>1334975.3</v>
      </c>
      <c r="G74" s="2">
        <v>660060.9</v>
      </c>
      <c r="H74" s="2">
        <v>674914.3</v>
      </c>
      <c r="I74" s="2">
        <f aca="true" t="shared" si="5" ref="I74:N74">SUM(I69:I73)</f>
        <v>20679.74267218028</v>
      </c>
      <c r="J74" s="31">
        <f t="shared" si="5"/>
        <v>0.5561582293127079</v>
      </c>
      <c r="K74" s="43">
        <f t="shared" si="5"/>
        <v>5169.935668045071</v>
      </c>
      <c r="L74" s="6">
        <f t="shared" si="5"/>
        <v>10339.871336090142</v>
      </c>
      <c r="M74" s="2">
        <f t="shared" si="5"/>
        <v>15509.807004135211</v>
      </c>
      <c r="N74" s="2">
        <f t="shared" si="5"/>
        <v>20679.742672180284</v>
      </c>
    </row>
    <row r="75" spans="2:14" ht="12.75">
      <c r="B75" s="1" t="s">
        <v>113</v>
      </c>
      <c r="C75" s="4" t="s">
        <v>484</v>
      </c>
      <c r="D75" s="2"/>
      <c r="E75" s="2">
        <v>15</v>
      </c>
      <c r="F75" s="2">
        <v>1600212</v>
      </c>
      <c r="G75" s="2"/>
      <c r="H75" s="2">
        <v>1600212</v>
      </c>
      <c r="I75" s="2"/>
      <c r="J75" s="2"/>
      <c r="K75" s="1"/>
      <c r="L75" s="7"/>
      <c r="M75" s="1"/>
      <c r="N75" s="1"/>
    </row>
    <row r="76" spans="2:14" ht="12.75">
      <c r="B76" s="1"/>
      <c r="C76" s="3" t="s">
        <v>114</v>
      </c>
      <c r="D76" s="1"/>
      <c r="E76" s="1"/>
      <c r="F76" s="1">
        <v>1431000</v>
      </c>
      <c r="G76" s="1"/>
      <c r="H76" s="1">
        <v>1431000</v>
      </c>
      <c r="I76" s="1"/>
      <c r="J76" s="1"/>
      <c r="K76" s="1"/>
      <c r="L76" s="7"/>
      <c r="M76" s="1"/>
      <c r="N76" s="1"/>
    </row>
    <row r="77" spans="2:14" ht="12.75">
      <c r="B77" s="1"/>
      <c r="C77" s="3" t="s">
        <v>115</v>
      </c>
      <c r="D77" s="1"/>
      <c r="E77" s="1"/>
      <c r="F77" s="1">
        <v>169212</v>
      </c>
      <c r="G77" s="1"/>
      <c r="H77" s="1">
        <v>169212</v>
      </c>
      <c r="I77" s="1"/>
      <c r="J77" s="1"/>
      <c r="K77" s="1"/>
      <c r="L77" s="7"/>
      <c r="M77" s="1"/>
      <c r="N77" s="1"/>
    </row>
    <row r="78" spans="2:14" ht="12.75">
      <c r="B78" s="1" t="s">
        <v>116</v>
      </c>
      <c r="C78" s="3" t="s">
        <v>485</v>
      </c>
      <c r="D78" s="1"/>
      <c r="E78" s="1"/>
      <c r="F78" s="1"/>
      <c r="G78" s="1"/>
      <c r="H78" s="1"/>
      <c r="I78" s="1"/>
      <c r="J78" s="1"/>
      <c r="K78" s="1"/>
      <c r="L78" s="7"/>
      <c r="M78" s="1"/>
      <c r="N78" s="1"/>
    </row>
    <row r="79" spans="2:14" ht="12.75">
      <c r="B79" s="1"/>
      <c r="C79" s="3"/>
      <c r="D79" s="1"/>
      <c r="E79" s="1"/>
      <c r="F79" s="1"/>
      <c r="G79" s="1"/>
      <c r="H79" s="1"/>
      <c r="I79" s="1"/>
      <c r="J79" s="1"/>
      <c r="K79" s="1"/>
      <c r="L79" s="7"/>
      <c r="M79" s="1"/>
      <c r="N79" s="1"/>
    </row>
    <row r="80" spans="2:14" ht="12.75">
      <c r="B80" s="2" t="s">
        <v>117</v>
      </c>
      <c r="C80" s="4"/>
      <c r="D80" s="2"/>
      <c r="E80" s="2"/>
      <c r="F80" s="2">
        <v>19547580.6</v>
      </c>
      <c r="G80" s="2">
        <v>11502035</v>
      </c>
      <c r="H80" s="2">
        <v>8045545.6</v>
      </c>
      <c r="I80" s="2">
        <f>I33+I42+I43+I50+I59+I67+I74</f>
        <v>370948.8943572381</v>
      </c>
      <c r="J80" s="31">
        <f>J33+J42+J43+J50+J59+J67+J74</f>
        <v>9.976249875138182</v>
      </c>
      <c r="K80" s="43">
        <f>J80*C5*3</f>
        <v>92737.2235893095</v>
      </c>
      <c r="L80" s="6">
        <f>L33+L42+L43+L50+L59+L67+L74</f>
        <v>194478.44717861904</v>
      </c>
      <c r="M80" s="2">
        <f>M33+M42+M43+M50+M59+M67+M74</f>
        <v>278211.6707679286</v>
      </c>
      <c r="N80" s="2">
        <f>N33+N42+N43+N50+N59+N67+N74</f>
        <v>370948.8943572381</v>
      </c>
    </row>
    <row r="81" spans="2:14" ht="12.75">
      <c r="B81" s="1"/>
      <c r="C81" s="3" t="s">
        <v>118</v>
      </c>
      <c r="D81" s="1"/>
      <c r="E81" s="1"/>
      <c r="F81" s="1">
        <v>1724360</v>
      </c>
      <c r="G81" s="1">
        <v>1204102.5</v>
      </c>
      <c r="H81" s="1">
        <v>520257.5</v>
      </c>
      <c r="I81" s="1">
        <f>G81/G80*I80</f>
        <v>38833.170918692755</v>
      </c>
      <c r="J81" s="30">
        <f>I81/C5/12</f>
        <v>1.0443740968688213</v>
      </c>
      <c r="K81" s="42">
        <f>J81*C5*3</f>
        <v>9708.292729673189</v>
      </c>
      <c r="L81" s="7">
        <f>J81*C5*6</f>
        <v>19416.585459346377</v>
      </c>
      <c r="M81" s="1">
        <f>J81*C5*9</f>
        <v>29124.878189019568</v>
      </c>
      <c r="N81" s="1">
        <f>J81*C5*12</f>
        <v>38833.170918692755</v>
      </c>
    </row>
    <row r="82" spans="2:14" ht="25.5">
      <c r="B82" s="1"/>
      <c r="C82" s="3" t="s">
        <v>119</v>
      </c>
      <c r="D82" s="1"/>
      <c r="E82" s="1"/>
      <c r="F82" s="1">
        <v>5396925.11</v>
      </c>
      <c r="G82" s="1">
        <v>3223686.7</v>
      </c>
      <c r="H82" s="1">
        <v>2173238.4</v>
      </c>
      <c r="I82" s="1">
        <f>G82/(G80+G81)*(I80+I81)</f>
        <v>103966.21268489739</v>
      </c>
      <c r="J82" s="30">
        <f>I82/C5/12</f>
        <v>2.7960533973648687</v>
      </c>
      <c r="K82" s="42">
        <f>J82*C5*3</f>
        <v>25991.553171224346</v>
      </c>
      <c r="L82" s="7">
        <f>J82*C5*6</f>
        <v>51983.10634244869</v>
      </c>
      <c r="M82" s="1">
        <f>J82*C5*9</f>
        <v>77974.65951367305</v>
      </c>
      <c r="N82" s="1">
        <f>J82*C5*12</f>
        <v>103966.21268489739</v>
      </c>
    </row>
    <row r="83" spans="2:14" ht="12.75">
      <c r="B83" s="2" t="s">
        <v>590</v>
      </c>
      <c r="C83" s="4"/>
      <c r="D83" s="2"/>
      <c r="E83" s="2"/>
      <c r="F83" s="2">
        <v>26668865.67</v>
      </c>
      <c r="G83" s="2">
        <v>15929824.3</v>
      </c>
      <c r="H83" s="2">
        <v>10739041.4</v>
      </c>
      <c r="I83" s="2">
        <f>I80+I81+I82</f>
        <v>513748.2779608283</v>
      </c>
      <c r="J83" s="31">
        <f>J80+J81+J82</f>
        <v>13.816677369371872</v>
      </c>
      <c r="K83" s="43">
        <f>J83*C5*3</f>
        <v>128437.06949020704</v>
      </c>
      <c r="L83" s="6">
        <f>SUM(L80:L82)</f>
        <v>265878.13898041414</v>
      </c>
      <c r="M83" s="2">
        <f>SUM(M80:M82)</f>
        <v>385311.2084706212</v>
      </c>
      <c r="N83" s="2">
        <f>SUM(N80:N82)</f>
        <v>513748.2779608283</v>
      </c>
    </row>
    <row r="84" spans="2:14" ht="12.75">
      <c r="B84" s="1" t="s">
        <v>120</v>
      </c>
      <c r="C84" s="3"/>
      <c r="D84" s="1"/>
      <c r="E84" s="1"/>
      <c r="F84" s="1">
        <v>1333443.28</v>
      </c>
      <c r="G84" s="1">
        <v>796491.2</v>
      </c>
      <c r="H84" s="1">
        <v>536952.07</v>
      </c>
      <c r="I84" s="1">
        <f>G84/G83*I83</f>
        <v>25687.413414280632</v>
      </c>
      <c r="J84" s="30">
        <f>I84/C5/12</f>
        <v>0.6908338554583962</v>
      </c>
      <c r="K84" s="42">
        <f>J84*C5*3</f>
        <v>6421.853353570158</v>
      </c>
      <c r="L84" s="7">
        <f>J84*C5*6</f>
        <v>12843.706707140316</v>
      </c>
      <c r="M84" s="1"/>
      <c r="N84" s="1"/>
    </row>
    <row r="85" spans="2:14" ht="12.75">
      <c r="B85" s="1"/>
      <c r="C85" s="4" t="s">
        <v>121</v>
      </c>
      <c r="D85" s="2"/>
      <c r="E85" s="2"/>
      <c r="F85" s="2">
        <v>28002308.95</v>
      </c>
      <c r="G85" s="2">
        <v>16726315.5</v>
      </c>
      <c r="H85" s="2">
        <v>11275993.5</v>
      </c>
      <c r="I85" s="2">
        <f>I83+I84</f>
        <v>539435.6913751089</v>
      </c>
      <c r="J85" s="31">
        <f>J83+J84</f>
        <v>14.507511224830267</v>
      </c>
      <c r="K85" s="43">
        <f>J85*C5*3</f>
        <v>134858.9228437772</v>
      </c>
      <c r="L85" s="6">
        <f>SUM(L83:L84)</f>
        <v>278721.84568755445</v>
      </c>
      <c r="M85" s="2">
        <f>M83+M84</f>
        <v>385311.2084706212</v>
      </c>
      <c r="N85" s="2">
        <f>N83+N84</f>
        <v>513748.2779608283</v>
      </c>
    </row>
    <row r="86" spans="2:14" ht="12.75">
      <c r="B86" s="1"/>
      <c r="C86" s="4" t="s">
        <v>193</v>
      </c>
      <c r="D86" s="2"/>
      <c r="E86" s="2"/>
      <c r="F86" s="2"/>
      <c r="G86" s="2"/>
      <c r="H86" s="2"/>
      <c r="I86" s="2"/>
      <c r="J86" s="2"/>
      <c r="K86" s="2"/>
      <c r="L86" s="6">
        <v>9184.92</v>
      </c>
      <c r="M86" s="2">
        <v>9184.92</v>
      </c>
      <c r="N86" s="2">
        <v>9184.92</v>
      </c>
    </row>
    <row r="87" spans="2:14" ht="12.75">
      <c r="B87" s="1"/>
      <c r="C87" s="1" t="s">
        <v>514</v>
      </c>
      <c r="D87" s="1"/>
      <c r="E87" s="1"/>
      <c r="F87" s="1"/>
      <c r="G87" s="1"/>
      <c r="H87" s="1"/>
      <c r="I87" s="1"/>
      <c r="J87" s="1">
        <v>15.65</v>
      </c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>
        <v>2.79</v>
      </c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2" t="s">
        <v>231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 t="s">
        <v>219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 t="s">
        <v>220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2" t="s">
        <v>221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2" t="s">
        <v>232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 t="s">
        <v>219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 t="s">
        <v>220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2" t="s">
        <v>221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2" t="s">
        <v>233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 t="s">
        <v>219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 t="s">
        <v>220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</sheetData>
  <mergeCells count="16">
    <mergeCell ref="B14:B18"/>
    <mergeCell ref="C14:C18"/>
    <mergeCell ref="D14:D18"/>
    <mergeCell ref="E14:E18"/>
    <mergeCell ref="F14:F18"/>
    <mergeCell ref="G14:H14"/>
    <mergeCell ref="I14:J14"/>
    <mergeCell ref="G15:G18"/>
    <mergeCell ref="H15:H18"/>
    <mergeCell ref="I15:I18"/>
    <mergeCell ref="J15:J18"/>
    <mergeCell ref="K14:N14"/>
    <mergeCell ref="K15:K18"/>
    <mergeCell ref="L15:L18"/>
    <mergeCell ref="M15:M18"/>
    <mergeCell ref="N15:N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2011-11-29T11:09:25Z</cp:lastPrinted>
  <dcterms:created xsi:type="dcterms:W3CDTF">1996-10-08T23:32:33Z</dcterms:created>
  <dcterms:modified xsi:type="dcterms:W3CDTF">2012-01-30T12:18:09Z</dcterms:modified>
  <cp:category/>
  <cp:version/>
  <cp:contentType/>
  <cp:contentStatus/>
</cp:coreProperties>
</file>